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600" windowHeight="8370" tabRatio="997" activeTab="3"/>
  </bookViews>
  <sheets>
    <sheet name="初中" sheetId="6" r:id="rId1"/>
    <sheet name="小学" sheetId="16" r:id="rId2"/>
    <sheet name="特教" sheetId="15" r:id="rId3"/>
    <sheet name="中职" sheetId="18" r:id="rId4"/>
  </sheets>
  <definedNames>
    <definedName name="_xlnm.Print_Titles" localSheetId="0">初中!$2:$2</definedName>
    <definedName name="_xlnm.Print_Titles" localSheetId="2">特教!$2:$2</definedName>
    <definedName name="_xlnm.Print_Titles" localSheetId="1">小学!$2:$2</definedName>
    <definedName name="_xlnm.Print_Titles" localSheetId="3">中职!$2:$2</definedName>
  </definedNames>
  <calcPr calcId="125725"/>
</workbook>
</file>

<file path=xl/calcChain.xml><?xml version="1.0" encoding="utf-8"?>
<calcChain xmlns="http://schemas.openxmlformats.org/spreadsheetml/2006/main">
  <c r="P4" i="18"/>
  <c r="M4"/>
  <c r="L4"/>
  <c r="K4"/>
  <c r="J4"/>
  <c r="I4"/>
  <c r="H4"/>
  <c r="G4"/>
  <c r="F4"/>
  <c r="E4"/>
  <c r="D4"/>
  <c r="C4"/>
  <c r="B4"/>
  <c r="P3"/>
  <c r="M3"/>
  <c r="L3"/>
  <c r="K3"/>
  <c r="J3"/>
  <c r="I3"/>
  <c r="H3"/>
  <c r="G3"/>
  <c r="F3"/>
  <c r="E3"/>
  <c r="D3"/>
  <c r="C3"/>
  <c r="B3"/>
  <c r="P8" i="15"/>
  <c r="M8"/>
  <c r="L8"/>
  <c r="K8"/>
  <c r="J8"/>
  <c r="I8"/>
  <c r="H8"/>
  <c r="G8"/>
  <c r="F8"/>
  <c r="E8"/>
  <c r="D8"/>
  <c r="C8"/>
  <c r="B8"/>
  <c r="P7"/>
  <c r="M7"/>
  <c r="L7"/>
  <c r="K7"/>
  <c r="J7"/>
  <c r="I7"/>
  <c r="H7"/>
  <c r="G7"/>
  <c r="F7"/>
  <c r="E7"/>
  <c r="D7"/>
  <c r="C7"/>
  <c r="B7"/>
  <c r="P6"/>
  <c r="M6"/>
  <c r="L6"/>
  <c r="K6"/>
  <c r="J6"/>
  <c r="I6"/>
  <c r="H6"/>
  <c r="G6"/>
  <c r="F6"/>
  <c r="E6"/>
  <c r="D6"/>
  <c r="C6"/>
  <c r="B6"/>
  <c r="P5"/>
  <c r="M5"/>
  <c r="L5"/>
  <c r="K5"/>
  <c r="J5"/>
  <c r="I5"/>
  <c r="H5"/>
  <c r="G5"/>
  <c r="F5"/>
  <c r="E5"/>
  <c r="D5"/>
  <c r="C5"/>
  <c r="B5"/>
  <c r="P4"/>
  <c r="M4"/>
  <c r="L4"/>
  <c r="K4"/>
  <c r="J4"/>
  <c r="I4"/>
  <c r="H4"/>
  <c r="G4"/>
  <c r="F4"/>
  <c r="D4"/>
  <c r="C4"/>
  <c r="B4"/>
  <c r="P3"/>
  <c r="M3"/>
  <c r="L3"/>
  <c r="K3"/>
  <c r="J3"/>
  <c r="I3"/>
  <c r="H3"/>
  <c r="G3"/>
  <c r="F3"/>
  <c r="E3"/>
  <c r="D3"/>
  <c r="C3"/>
  <c r="B3"/>
  <c r="P169" i="16"/>
  <c r="M169"/>
  <c r="L169"/>
  <c r="K169"/>
  <c r="J169"/>
  <c r="I169"/>
  <c r="H169"/>
  <c r="G169"/>
  <c r="F169"/>
  <c r="E169"/>
  <c r="D169"/>
  <c r="C169"/>
  <c r="B169"/>
  <c r="P168"/>
  <c r="M168"/>
  <c r="L168"/>
  <c r="K168"/>
  <c r="J168"/>
  <c r="I168"/>
  <c r="H168"/>
  <c r="G168"/>
  <c r="F168"/>
  <c r="E168"/>
  <c r="D168"/>
  <c r="C168"/>
  <c r="B168"/>
  <c r="P167"/>
  <c r="M167"/>
  <c r="L167"/>
  <c r="K167"/>
  <c r="J167"/>
  <c r="I167"/>
  <c r="H167"/>
  <c r="G167"/>
  <c r="F167"/>
  <c r="E167"/>
  <c r="D167"/>
  <c r="C167"/>
  <c r="B167"/>
  <c r="P166"/>
  <c r="M166"/>
  <c r="L166"/>
  <c r="K166"/>
  <c r="J166"/>
  <c r="I166"/>
  <c r="H166"/>
  <c r="G166"/>
  <c r="F166"/>
  <c r="E166"/>
  <c r="D166"/>
  <c r="C166"/>
  <c r="B166"/>
  <c r="P165"/>
  <c r="M165"/>
  <c r="L165"/>
  <c r="K165"/>
  <c r="J165"/>
  <c r="I165"/>
  <c r="H165"/>
  <c r="G165"/>
  <c r="F165"/>
  <c r="E165"/>
  <c r="D165"/>
  <c r="C165"/>
  <c r="B165"/>
  <c r="P164"/>
  <c r="M164"/>
  <c r="L164"/>
  <c r="K164"/>
  <c r="J164"/>
  <c r="I164"/>
  <c r="H164"/>
  <c r="G164"/>
  <c r="F164"/>
  <c r="E164"/>
  <c r="D164"/>
  <c r="C164"/>
  <c r="B164"/>
  <c r="P163"/>
  <c r="M163"/>
  <c r="L163"/>
  <c r="K163"/>
  <c r="J163"/>
  <c r="I163"/>
  <c r="H163"/>
  <c r="G163"/>
  <c r="F163"/>
  <c r="E163"/>
  <c r="D163"/>
  <c r="C163"/>
  <c r="B163"/>
  <c r="P162"/>
  <c r="M162"/>
  <c r="L162"/>
  <c r="K162"/>
  <c r="J162"/>
  <c r="I162"/>
  <c r="H162"/>
  <c r="G162"/>
  <c r="F162"/>
  <c r="E162"/>
  <c r="D162"/>
  <c r="C162"/>
  <c r="B162"/>
  <c r="P161"/>
  <c r="M161"/>
  <c r="L161"/>
  <c r="K161"/>
  <c r="J161"/>
  <c r="I161"/>
  <c r="H161"/>
  <c r="G161"/>
  <c r="F161"/>
  <c r="E161"/>
  <c r="D161"/>
  <c r="C161"/>
  <c r="B161"/>
  <c r="P160"/>
  <c r="M160"/>
  <c r="L160"/>
  <c r="K160"/>
  <c r="J160"/>
  <c r="I160"/>
  <c r="H160"/>
  <c r="G160"/>
  <c r="F160"/>
  <c r="E160"/>
  <c r="D160"/>
  <c r="C160"/>
  <c r="B160"/>
  <c r="P159"/>
  <c r="M159"/>
  <c r="L159"/>
  <c r="K159"/>
  <c r="J159"/>
  <c r="I159"/>
  <c r="H159"/>
  <c r="G159"/>
  <c r="F159"/>
  <c r="E159"/>
  <c r="D159"/>
  <c r="C159"/>
  <c r="B159"/>
  <c r="P158"/>
  <c r="M158"/>
  <c r="L158"/>
  <c r="K158"/>
  <c r="J158"/>
  <c r="I158"/>
  <c r="H158"/>
  <c r="G158"/>
  <c r="F158"/>
  <c r="E158"/>
  <c r="D158"/>
  <c r="C158"/>
  <c r="B158"/>
  <c r="P157"/>
  <c r="M157"/>
  <c r="L157"/>
  <c r="K157"/>
  <c r="J157"/>
  <c r="I157"/>
  <c r="H157"/>
  <c r="G157"/>
  <c r="F157"/>
  <c r="E157"/>
  <c r="D157"/>
  <c r="C157"/>
  <c r="B157"/>
  <c r="P156"/>
  <c r="M156"/>
  <c r="L156"/>
  <c r="K156"/>
  <c r="J156"/>
  <c r="I156"/>
  <c r="H156"/>
  <c r="G156"/>
  <c r="F156"/>
  <c r="E156"/>
  <c r="D156"/>
  <c r="C156"/>
  <c r="B156"/>
  <c r="P155"/>
  <c r="M155"/>
  <c r="L155"/>
  <c r="K155"/>
  <c r="J155"/>
  <c r="I155"/>
  <c r="H155"/>
  <c r="G155"/>
  <c r="F155"/>
  <c r="E155"/>
  <c r="D155"/>
  <c r="C155"/>
  <c r="B155"/>
  <c r="P154"/>
  <c r="M154"/>
  <c r="L154"/>
  <c r="K154"/>
  <c r="J154"/>
  <c r="I154"/>
  <c r="H154"/>
  <c r="G154"/>
  <c r="F154"/>
  <c r="E154"/>
  <c r="D154"/>
  <c r="C154"/>
  <c r="B154"/>
  <c r="P153"/>
  <c r="M153"/>
  <c r="L153"/>
  <c r="K153"/>
  <c r="J153"/>
  <c r="I153"/>
  <c r="H153"/>
  <c r="G153"/>
  <c r="F153"/>
  <c r="E153"/>
  <c r="D153"/>
  <c r="C153"/>
  <c r="B153"/>
  <c r="P152"/>
  <c r="M152"/>
  <c r="L152"/>
  <c r="K152"/>
  <c r="J152"/>
  <c r="I152"/>
  <c r="H152"/>
  <c r="G152"/>
  <c r="F152"/>
  <c r="E152"/>
  <c r="D152"/>
  <c r="C152"/>
  <c r="B152"/>
  <c r="P151"/>
  <c r="M151"/>
  <c r="L151"/>
  <c r="K151"/>
  <c r="J151"/>
  <c r="I151"/>
  <c r="H151"/>
  <c r="G151"/>
  <c r="F151"/>
  <c r="E151"/>
  <c r="D151"/>
  <c r="C151"/>
  <c r="B151"/>
  <c r="P150"/>
  <c r="M150"/>
  <c r="L150"/>
  <c r="K150"/>
  <c r="J150"/>
  <c r="I150"/>
  <c r="H150"/>
  <c r="G150"/>
  <c r="F150"/>
  <c r="E150"/>
  <c r="D150"/>
  <c r="C150"/>
  <c r="B150"/>
  <c r="P149"/>
  <c r="M149"/>
  <c r="L149"/>
  <c r="K149"/>
  <c r="J149"/>
  <c r="I149"/>
  <c r="H149"/>
  <c r="G149"/>
  <c r="F149"/>
  <c r="E149"/>
  <c r="D149"/>
  <c r="C149"/>
  <c r="B149"/>
  <c r="P148"/>
  <c r="M148"/>
  <c r="L148"/>
  <c r="K148"/>
  <c r="J148"/>
  <c r="I148"/>
  <c r="H148"/>
  <c r="G148"/>
  <c r="F148"/>
  <c r="E148"/>
  <c r="D148"/>
  <c r="C148"/>
  <c r="B148"/>
  <c r="P147"/>
  <c r="M147"/>
  <c r="L147"/>
  <c r="K147"/>
  <c r="J147"/>
  <c r="I147"/>
  <c r="H147"/>
  <c r="G147"/>
  <c r="F147"/>
  <c r="E147"/>
  <c r="D147"/>
  <c r="C147"/>
  <c r="B147"/>
  <c r="P146"/>
  <c r="M146"/>
  <c r="L146"/>
  <c r="K146"/>
  <c r="J146"/>
  <c r="I146"/>
  <c r="H146"/>
  <c r="G146"/>
  <c r="F146"/>
  <c r="E146"/>
  <c r="D146"/>
  <c r="C146"/>
  <c r="B146"/>
  <c r="P145"/>
  <c r="M145"/>
  <c r="L145"/>
  <c r="K145"/>
  <c r="J145"/>
  <c r="I145"/>
  <c r="H145"/>
  <c r="G145"/>
  <c r="F145"/>
  <c r="E145"/>
  <c r="D145"/>
  <c r="C145"/>
  <c r="B145"/>
  <c r="P144"/>
  <c r="M144"/>
  <c r="L144"/>
  <c r="K144"/>
  <c r="J144"/>
  <c r="I144"/>
  <c r="H144"/>
  <c r="G144"/>
  <c r="F144"/>
  <c r="E144"/>
  <c r="D144"/>
  <c r="C144"/>
  <c r="B144"/>
  <c r="P143"/>
  <c r="M143"/>
  <c r="L143"/>
  <c r="K143"/>
  <c r="J143"/>
  <c r="I143"/>
  <c r="H143"/>
  <c r="G143"/>
  <c r="F143"/>
  <c r="E143"/>
  <c r="D143"/>
  <c r="C143"/>
  <c r="B143"/>
  <c r="P142"/>
  <c r="M142"/>
  <c r="L142"/>
  <c r="K142"/>
  <c r="J142"/>
  <c r="I142"/>
  <c r="H142"/>
  <c r="G142"/>
  <c r="F142"/>
  <c r="D142"/>
  <c r="C142"/>
  <c r="B142"/>
  <c r="P141"/>
  <c r="M141"/>
  <c r="L141"/>
  <c r="K141"/>
  <c r="J141"/>
  <c r="I141"/>
  <c r="H141"/>
  <c r="G141"/>
  <c r="F141"/>
  <c r="E141"/>
  <c r="D141"/>
  <c r="C141"/>
  <c r="B141"/>
  <c r="P140"/>
  <c r="M140"/>
  <c r="L140"/>
  <c r="K140"/>
  <c r="J140"/>
  <c r="I140"/>
  <c r="H140"/>
  <c r="G140"/>
  <c r="F140"/>
  <c r="E140"/>
  <c r="D140"/>
  <c r="C140"/>
  <c r="B140"/>
  <c r="P139"/>
  <c r="M139"/>
  <c r="L139"/>
  <c r="K139"/>
  <c r="J139"/>
  <c r="I139"/>
  <c r="H139"/>
  <c r="G139"/>
  <c r="F139"/>
  <c r="E139"/>
  <c r="D139"/>
  <c r="C139"/>
  <c r="B139"/>
  <c r="P138"/>
  <c r="M138"/>
  <c r="L138"/>
  <c r="K138"/>
  <c r="J138"/>
  <c r="I138"/>
  <c r="H138"/>
  <c r="G138"/>
  <c r="F138"/>
  <c r="E138"/>
  <c r="D138"/>
  <c r="C138"/>
  <c r="B138"/>
  <c r="P137"/>
  <c r="M137"/>
  <c r="L137"/>
  <c r="K137"/>
  <c r="J137"/>
  <c r="I137"/>
  <c r="H137"/>
  <c r="G137"/>
  <c r="F137"/>
  <c r="E137"/>
  <c r="D137"/>
  <c r="C137"/>
  <c r="B137"/>
  <c r="P136"/>
  <c r="M136"/>
  <c r="L136"/>
  <c r="K136"/>
  <c r="J136"/>
  <c r="I136"/>
  <c r="H136"/>
  <c r="G136"/>
  <c r="F136"/>
  <c r="E136"/>
  <c r="D136"/>
  <c r="C136"/>
  <c r="B136"/>
  <c r="P135"/>
  <c r="M135"/>
  <c r="L135"/>
  <c r="K135"/>
  <c r="J135"/>
  <c r="I135"/>
  <c r="H135"/>
  <c r="G135"/>
  <c r="F135"/>
  <c r="E135"/>
  <c r="D135"/>
  <c r="C135"/>
  <c r="B135"/>
  <c r="P134"/>
  <c r="M134"/>
  <c r="L134"/>
  <c r="K134"/>
  <c r="J134"/>
  <c r="I134"/>
  <c r="H134"/>
  <c r="G134"/>
  <c r="F134"/>
  <c r="E134"/>
  <c r="D134"/>
  <c r="C134"/>
  <c r="B134"/>
  <c r="P133"/>
  <c r="M133"/>
  <c r="L133"/>
  <c r="K133"/>
  <c r="J133"/>
  <c r="I133"/>
  <c r="H133"/>
  <c r="G133"/>
  <c r="F133"/>
  <c r="E133"/>
  <c r="D133"/>
  <c r="C133"/>
  <c r="B133"/>
  <c r="P132"/>
  <c r="M132"/>
  <c r="L132"/>
  <c r="K132"/>
  <c r="J132"/>
  <c r="I132"/>
  <c r="H132"/>
  <c r="G132"/>
  <c r="F132"/>
  <c r="E132"/>
  <c r="D132"/>
  <c r="C132"/>
  <c r="B132"/>
  <c r="P131"/>
  <c r="M131"/>
  <c r="L131"/>
  <c r="K131"/>
  <c r="J131"/>
  <c r="I131"/>
  <c r="H131"/>
  <c r="G131"/>
  <c r="F131"/>
  <c r="E131"/>
  <c r="D131"/>
  <c r="C131"/>
  <c r="B131"/>
  <c r="P130"/>
  <c r="M130"/>
  <c r="L130"/>
  <c r="K130"/>
  <c r="J130"/>
  <c r="I130"/>
  <c r="H130"/>
  <c r="G130"/>
  <c r="F130"/>
  <c r="E130"/>
  <c r="D130"/>
  <c r="C130"/>
  <c r="B130"/>
  <c r="P129"/>
  <c r="M129"/>
  <c r="L129"/>
  <c r="K129"/>
  <c r="J129"/>
  <c r="I129"/>
  <c r="H129"/>
  <c r="G129"/>
  <c r="F129"/>
  <c r="E129"/>
  <c r="D129"/>
  <c r="C129"/>
  <c r="B129"/>
  <c r="P128"/>
  <c r="M128"/>
  <c r="L128"/>
  <c r="K128"/>
  <c r="J128"/>
  <c r="I128"/>
  <c r="H128"/>
  <c r="G128"/>
  <c r="F128"/>
  <c r="E128"/>
  <c r="D128"/>
  <c r="C128"/>
  <c r="B128"/>
  <c r="P127"/>
  <c r="M127"/>
  <c r="L127"/>
  <c r="K127"/>
  <c r="J127"/>
  <c r="I127"/>
  <c r="H127"/>
  <c r="G127"/>
  <c r="F127"/>
  <c r="E127"/>
  <c r="D127"/>
  <c r="C127"/>
  <c r="B127"/>
  <c r="P126"/>
  <c r="M126"/>
  <c r="L126"/>
  <c r="K126"/>
  <c r="J126"/>
  <c r="I126"/>
  <c r="H126"/>
  <c r="G126"/>
  <c r="F126"/>
  <c r="E126"/>
  <c r="D126"/>
  <c r="C126"/>
  <c r="B126"/>
  <c r="P125"/>
  <c r="M125"/>
  <c r="L125"/>
  <c r="K125"/>
  <c r="J125"/>
  <c r="I125"/>
  <c r="H125"/>
  <c r="G125"/>
  <c r="F125"/>
  <c r="E125"/>
  <c r="D125"/>
  <c r="C125"/>
  <c r="B125"/>
  <c r="P124"/>
  <c r="M124"/>
  <c r="L124"/>
  <c r="K124"/>
  <c r="J124"/>
  <c r="I124"/>
  <c r="H124"/>
  <c r="G124"/>
  <c r="F124"/>
  <c r="E124"/>
  <c r="D124"/>
  <c r="C124"/>
  <c r="B124"/>
  <c r="P123"/>
  <c r="M123"/>
  <c r="L123"/>
  <c r="K123"/>
  <c r="J123"/>
  <c r="I123"/>
  <c r="H123"/>
  <c r="G123"/>
  <c r="F123"/>
  <c r="E123"/>
  <c r="D123"/>
  <c r="C123"/>
  <c r="B123"/>
  <c r="P122"/>
  <c r="M122"/>
  <c r="L122"/>
  <c r="K122"/>
  <c r="J122"/>
  <c r="I122"/>
  <c r="H122"/>
  <c r="G122"/>
  <c r="F122"/>
  <c r="E122"/>
  <c r="D122"/>
  <c r="C122"/>
  <c r="B122"/>
  <c r="P121"/>
  <c r="M121"/>
  <c r="L121"/>
  <c r="K121"/>
  <c r="J121"/>
  <c r="I121"/>
  <c r="H121"/>
  <c r="G121"/>
  <c r="F121"/>
  <c r="E121"/>
  <c r="D121"/>
  <c r="C121"/>
  <c r="B121"/>
  <c r="P120"/>
  <c r="M120"/>
  <c r="L120"/>
  <c r="K120"/>
  <c r="J120"/>
  <c r="I120"/>
  <c r="H120"/>
  <c r="G120"/>
  <c r="F120"/>
  <c r="E120"/>
  <c r="D120"/>
  <c r="C120"/>
  <c r="B120"/>
  <c r="P119"/>
  <c r="M119"/>
  <c r="L119"/>
  <c r="K119"/>
  <c r="J119"/>
  <c r="I119"/>
  <c r="H119"/>
  <c r="G119"/>
  <c r="F119"/>
  <c r="E119"/>
  <c r="D119"/>
  <c r="C119"/>
  <c r="B119"/>
  <c r="P118"/>
  <c r="M118"/>
  <c r="L118"/>
  <c r="K118"/>
  <c r="J118"/>
  <c r="I118"/>
  <c r="H118"/>
  <c r="G118"/>
  <c r="F118"/>
  <c r="E118"/>
  <c r="D118"/>
  <c r="C118"/>
  <c r="B118"/>
  <c r="P117"/>
  <c r="M117"/>
  <c r="L117"/>
  <c r="K117"/>
  <c r="J117"/>
  <c r="I117"/>
  <c r="H117"/>
  <c r="G117"/>
  <c r="F117"/>
  <c r="E117"/>
  <c r="D117"/>
  <c r="C117"/>
  <c r="B117"/>
  <c r="P116"/>
  <c r="M116"/>
  <c r="L116"/>
  <c r="K116"/>
  <c r="J116"/>
  <c r="I116"/>
  <c r="H116"/>
  <c r="G116"/>
  <c r="F116"/>
  <c r="E116"/>
  <c r="D116"/>
  <c r="C116"/>
  <c r="B116"/>
  <c r="P115"/>
  <c r="M115"/>
  <c r="L115"/>
  <c r="K115"/>
  <c r="J115"/>
  <c r="I115"/>
  <c r="H115"/>
  <c r="G115"/>
  <c r="F115"/>
  <c r="E115"/>
  <c r="D115"/>
  <c r="C115"/>
  <c r="B115"/>
  <c r="P114"/>
  <c r="M114"/>
  <c r="L114"/>
  <c r="K114"/>
  <c r="J114"/>
  <c r="I114"/>
  <c r="H114"/>
  <c r="G114"/>
  <c r="F114"/>
  <c r="E114"/>
  <c r="D114"/>
  <c r="C114"/>
  <c r="B114"/>
  <c r="P113"/>
  <c r="M113"/>
  <c r="L113"/>
  <c r="K113"/>
  <c r="J113"/>
  <c r="I113"/>
  <c r="H113"/>
  <c r="G113"/>
  <c r="F113"/>
  <c r="E113"/>
  <c r="D113"/>
  <c r="C113"/>
  <c r="B113"/>
  <c r="P112"/>
  <c r="M112"/>
  <c r="L112"/>
  <c r="K112"/>
  <c r="J112"/>
  <c r="I112"/>
  <c r="H112"/>
  <c r="G112"/>
  <c r="F112"/>
  <c r="E112"/>
  <c r="D112"/>
  <c r="C112"/>
  <c r="B112"/>
  <c r="P111"/>
  <c r="M111"/>
  <c r="L111"/>
  <c r="K111"/>
  <c r="J111"/>
  <c r="I111"/>
  <c r="H111"/>
  <c r="G111"/>
  <c r="F111"/>
  <c r="E111"/>
  <c r="D111"/>
  <c r="C111"/>
  <c r="B111"/>
  <c r="P110"/>
  <c r="M110"/>
  <c r="L110"/>
  <c r="K110"/>
  <c r="J110"/>
  <c r="I110"/>
  <c r="H110"/>
  <c r="G110"/>
  <c r="F110"/>
  <c r="E110"/>
  <c r="D110"/>
  <c r="C110"/>
  <c r="B110"/>
  <c r="P109"/>
  <c r="M109"/>
  <c r="L109"/>
  <c r="K109"/>
  <c r="J109"/>
  <c r="I109"/>
  <c r="H109"/>
  <c r="G109"/>
  <c r="F109"/>
  <c r="E109"/>
  <c r="D109"/>
  <c r="C109"/>
  <c r="B109"/>
  <c r="P108"/>
  <c r="M108"/>
  <c r="L108"/>
  <c r="K108"/>
  <c r="J108"/>
  <c r="I108"/>
  <c r="H108"/>
  <c r="G108"/>
  <c r="F108"/>
  <c r="E108"/>
  <c r="D108"/>
  <c r="C108"/>
  <c r="B108"/>
  <c r="P107"/>
  <c r="M107"/>
  <c r="L107"/>
  <c r="K107"/>
  <c r="J107"/>
  <c r="I107"/>
  <c r="H107"/>
  <c r="G107"/>
  <c r="F107"/>
  <c r="E107"/>
  <c r="D107"/>
  <c r="C107"/>
  <c r="B107"/>
  <c r="P106"/>
  <c r="M106"/>
  <c r="L106"/>
  <c r="K106"/>
  <c r="J106"/>
  <c r="I106"/>
  <c r="H106"/>
  <c r="G106"/>
  <c r="F106"/>
  <c r="E106"/>
  <c r="D106"/>
  <c r="C106"/>
  <c r="B106"/>
  <c r="P105"/>
  <c r="M105"/>
  <c r="L105"/>
  <c r="K105"/>
  <c r="J105"/>
  <c r="I105"/>
  <c r="H105"/>
  <c r="G105"/>
  <c r="F105"/>
  <c r="E105"/>
  <c r="D105"/>
  <c r="C105"/>
  <c r="B105"/>
  <c r="P104"/>
  <c r="M104"/>
  <c r="L104"/>
  <c r="K104"/>
  <c r="J104"/>
  <c r="I104"/>
  <c r="H104"/>
  <c r="G104"/>
  <c r="F104"/>
  <c r="E104"/>
  <c r="D104"/>
  <c r="C104"/>
  <c r="B104"/>
  <c r="P103"/>
  <c r="M103"/>
  <c r="L103"/>
  <c r="K103"/>
  <c r="J103"/>
  <c r="I103"/>
  <c r="H103"/>
  <c r="G103"/>
  <c r="F103"/>
  <c r="E103"/>
  <c r="D103"/>
  <c r="C103"/>
  <c r="B103"/>
  <c r="P102"/>
  <c r="M102"/>
  <c r="L102"/>
  <c r="K102"/>
  <c r="J102"/>
  <c r="I102"/>
  <c r="H102"/>
  <c r="G102"/>
  <c r="F102"/>
  <c r="E102"/>
  <c r="D102"/>
  <c r="C102"/>
  <c r="B102"/>
  <c r="P101"/>
  <c r="M101"/>
  <c r="L101"/>
  <c r="K101"/>
  <c r="J101"/>
  <c r="I101"/>
  <c r="H101"/>
  <c r="G101"/>
  <c r="F101"/>
  <c r="E101"/>
  <c r="D101"/>
  <c r="C101"/>
  <c r="B101"/>
  <c r="P100"/>
  <c r="M100"/>
  <c r="L100"/>
  <c r="K100"/>
  <c r="J100"/>
  <c r="I100"/>
  <c r="H100"/>
  <c r="G100"/>
  <c r="F100"/>
  <c r="E100"/>
  <c r="D100"/>
  <c r="C100"/>
  <c r="B100"/>
  <c r="P99"/>
  <c r="M99"/>
  <c r="L99"/>
  <c r="K99"/>
  <c r="J99"/>
  <c r="I99"/>
  <c r="H99"/>
  <c r="G99"/>
  <c r="F99"/>
  <c r="E99"/>
  <c r="D99"/>
  <c r="C99"/>
  <c r="B99"/>
  <c r="P98"/>
  <c r="M98"/>
  <c r="L98"/>
  <c r="K98"/>
  <c r="J98"/>
  <c r="I98"/>
  <c r="H98"/>
  <c r="G98"/>
  <c r="F98"/>
  <c r="E98"/>
  <c r="D98"/>
  <c r="C98"/>
  <c r="B98"/>
  <c r="P97"/>
  <c r="M97"/>
  <c r="L97"/>
  <c r="K97"/>
  <c r="J97"/>
  <c r="I97"/>
  <c r="H97"/>
  <c r="G97"/>
  <c r="F97"/>
  <c r="E97"/>
  <c r="D97"/>
  <c r="C97"/>
  <c r="B97"/>
  <c r="P96"/>
  <c r="M96"/>
  <c r="L96"/>
  <c r="K96"/>
  <c r="J96"/>
  <c r="I96"/>
  <c r="H96"/>
  <c r="G96"/>
  <c r="F96"/>
  <c r="E96"/>
  <c r="D96"/>
  <c r="C96"/>
  <c r="B96"/>
  <c r="P95"/>
  <c r="M95"/>
  <c r="L95"/>
  <c r="K95"/>
  <c r="J95"/>
  <c r="I95"/>
  <c r="H95"/>
  <c r="G95"/>
  <c r="F95"/>
  <c r="E95"/>
  <c r="D95"/>
  <c r="C95"/>
  <c r="B95"/>
  <c r="P94"/>
  <c r="M94"/>
  <c r="L94"/>
  <c r="K94"/>
  <c r="J94"/>
  <c r="I94"/>
  <c r="H94"/>
  <c r="G94"/>
  <c r="F94"/>
  <c r="E94"/>
  <c r="D94"/>
  <c r="C94"/>
  <c r="B94"/>
  <c r="P93"/>
  <c r="M93"/>
  <c r="L93"/>
  <c r="K93"/>
  <c r="J93"/>
  <c r="I93"/>
  <c r="H93"/>
  <c r="G93"/>
  <c r="F93"/>
  <c r="D93"/>
  <c r="C93"/>
  <c r="B93"/>
  <c r="P92"/>
  <c r="M92"/>
  <c r="L92"/>
  <c r="K92"/>
  <c r="J92"/>
  <c r="I92"/>
  <c r="H92"/>
  <c r="G92"/>
  <c r="F92"/>
  <c r="E92"/>
  <c r="D92"/>
  <c r="C92"/>
  <c r="B92"/>
  <c r="P91"/>
  <c r="M91"/>
  <c r="L91"/>
  <c r="K91"/>
  <c r="J91"/>
  <c r="I91"/>
  <c r="H91"/>
  <c r="G91"/>
  <c r="F91"/>
  <c r="E91"/>
  <c r="D91"/>
  <c r="C91"/>
  <c r="B91"/>
  <c r="P90"/>
  <c r="M90"/>
  <c r="L90"/>
  <c r="K90"/>
  <c r="J90"/>
  <c r="I90"/>
  <c r="H90"/>
  <c r="G90"/>
  <c r="F90"/>
  <c r="E90"/>
  <c r="D90"/>
  <c r="C90"/>
  <c r="B90"/>
  <c r="P89"/>
  <c r="M89"/>
  <c r="L89"/>
  <c r="K89"/>
  <c r="J89"/>
  <c r="I89"/>
  <c r="H89"/>
  <c r="G89"/>
  <c r="F89"/>
  <c r="E89"/>
  <c r="D89"/>
  <c r="C89"/>
  <c r="B89"/>
  <c r="P88"/>
  <c r="M88"/>
  <c r="L88"/>
  <c r="K88"/>
  <c r="J88"/>
  <c r="I88"/>
  <c r="H88"/>
  <c r="G88"/>
  <c r="F88"/>
  <c r="E88"/>
  <c r="D88"/>
  <c r="C88"/>
  <c r="B88"/>
  <c r="P87"/>
  <c r="M87"/>
  <c r="L87"/>
  <c r="K87"/>
  <c r="J87"/>
  <c r="I87"/>
  <c r="H87"/>
  <c r="G87"/>
  <c r="F87"/>
  <c r="D87"/>
  <c r="C87"/>
  <c r="B87"/>
  <c r="P86"/>
  <c r="M86"/>
  <c r="L86"/>
  <c r="K86"/>
  <c r="J86"/>
  <c r="I86"/>
  <c r="H86"/>
  <c r="G86"/>
  <c r="F86"/>
  <c r="E86"/>
  <c r="D86"/>
  <c r="C86"/>
  <c r="B86"/>
  <c r="P85"/>
  <c r="M85"/>
  <c r="L85"/>
  <c r="K85"/>
  <c r="J85"/>
  <c r="I85"/>
  <c r="H85"/>
  <c r="G85"/>
  <c r="F85"/>
  <c r="E85"/>
  <c r="D85"/>
  <c r="C85"/>
  <c r="B85"/>
  <c r="P84"/>
  <c r="M84"/>
  <c r="L84"/>
  <c r="K84"/>
  <c r="J84"/>
  <c r="I84"/>
  <c r="H84"/>
  <c r="G84"/>
  <c r="F84"/>
  <c r="E84"/>
  <c r="D84"/>
  <c r="C84"/>
  <c r="B84"/>
  <c r="P83"/>
  <c r="M83"/>
  <c r="L83"/>
  <c r="K83"/>
  <c r="J83"/>
  <c r="I83"/>
  <c r="H83"/>
  <c r="G83"/>
  <c r="F83"/>
  <c r="E83"/>
  <c r="D83"/>
  <c r="C83"/>
  <c r="B83"/>
  <c r="P82"/>
  <c r="M82"/>
  <c r="L82"/>
  <c r="K82"/>
  <c r="J82"/>
  <c r="I82"/>
  <c r="H82"/>
  <c r="G82"/>
  <c r="F82"/>
  <c r="E82"/>
  <c r="D82"/>
  <c r="C82"/>
  <c r="B82"/>
  <c r="P81"/>
  <c r="M81"/>
  <c r="L81"/>
  <c r="K81"/>
  <c r="J81"/>
  <c r="I81"/>
  <c r="H81"/>
  <c r="G81"/>
  <c r="F81"/>
  <c r="E81"/>
  <c r="D81"/>
  <c r="C81"/>
  <c r="B81"/>
  <c r="P80"/>
  <c r="M80"/>
  <c r="L80"/>
  <c r="K80"/>
  <c r="J80"/>
  <c r="I80"/>
  <c r="H80"/>
  <c r="G80"/>
  <c r="F80"/>
  <c r="E80"/>
  <c r="D80"/>
  <c r="C80"/>
  <c r="B80"/>
  <c r="P79"/>
  <c r="M79"/>
  <c r="L79"/>
  <c r="K79"/>
  <c r="J79"/>
  <c r="I79"/>
  <c r="H79"/>
  <c r="G79"/>
  <c r="F79"/>
  <c r="E79"/>
  <c r="D79"/>
  <c r="C79"/>
  <c r="B79"/>
  <c r="P78"/>
  <c r="M78"/>
  <c r="L78"/>
  <c r="K78"/>
  <c r="J78"/>
  <c r="I78"/>
  <c r="H78"/>
  <c r="G78"/>
  <c r="F78"/>
  <c r="E78"/>
  <c r="D78"/>
  <c r="C78"/>
  <c r="B78"/>
  <c r="P77"/>
  <c r="M77"/>
  <c r="L77"/>
  <c r="K77"/>
  <c r="J77"/>
  <c r="I77"/>
  <c r="H77"/>
  <c r="G77"/>
  <c r="F77"/>
  <c r="E77"/>
  <c r="D77"/>
  <c r="C77"/>
  <c r="B77"/>
  <c r="P76"/>
  <c r="M76"/>
  <c r="L76"/>
  <c r="K76"/>
  <c r="J76"/>
  <c r="I76"/>
  <c r="H76"/>
  <c r="G76"/>
  <c r="F76"/>
  <c r="E76"/>
  <c r="D76"/>
  <c r="C76"/>
  <c r="B76"/>
  <c r="P75"/>
  <c r="M75"/>
  <c r="L75"/>
  <c r="K75"/>
  <c r="J75"/>
  <c r="I75"/>
  <c r="H75"/>
  <c r="G75"/>
  <c r="F75"/>
  <c r="E75"/>
  <c r="D75"/>
  <c r="C75"/>
  <c r="B75"/>
  <c r="P74"/>
  <c r="M74"/>
  <c r="L74"/>
  <c r="K74"/>
  <c r="J74"/>
  <c r="I74"/>
  <c r="H74"/>
  <c r="G74"/>
  <c r="F74"/>
  <c r="E74"/>
  <c r="D74"/>
  <c r="C74"/>
  <c r="B74"/>
  <c r="P73"/>
  <c r="M73"/>
  <c r="L73"/>
  <c r="K73"/>
  <c r="J73"/>
  <c r="I73"/>
  <c r="H73"/>
  <c r="G73"/>
  <c r="F73"/>
  <c r="E73"/>
  <c r="D73"/>
  <c r="C73"/>
  <c r="B73"/>
  <c r="P72"/>
  <c r="M72"/>
  <c r="L72"/>
  <c r="K72"/>
  <c r="J72"/>
  <c r="I72"/>
  <c r="H72"/>
  <c r="G72"/>
  <c r="F72"/>
  <c r="E72"/>
  <c r="D72"/>
  <c r="C72"/>
  <c r="B72"/>
  <c r="P71"/>
  <c r="M71"/>
  <c r="L71"/>
  <c r="K71"/>
  <c r="J71"/>
  <c r="I71"/>
  <c r="H71"/>
  <c r="G71"/>
  <c r="F71"/>
  <c r="E71"/>
  <c r="D71"/>
  <c r="C71"/>
  <c r="B71"/>
  <c r="P70"/>
  <c r="M70"/>
  <c r="L70"/>
  <c r="K70"/>
  <c r="J70"/>
  <c r="I70"/>
  <c r="H70"/>
  <c r="G70"/>
  <c r="F70"/>
  <c r="E70"/>
  <c r="D70"/>
  <c r="C70"/>
  <c r="B70"/>
  <c r="P69"/>
  <c r="M69"/>
  <c r="L69"/>
  <c r="K69"/>
  <c r="J69"/>
  <c r="I69"/>
  <c r="H69"/>
  <c r="G69"/>
  <c r="F69"/>
  <c r="E69"/>
  <c r="D69"/>
  <c r="C69"/>
  <c r="B69"/>
  <c r="P68"/>
  <c r="M68"/>
  <c r="L68"/>
  <c r="K68"/>
  <c r="J68"/>
  <c r="I68"/>
  <c r="H68"/>
  <c r="G68"/>
  <c r="F68"/>
  <c r="E68"/>
  <c r="D68"/>
  <c r="C68"/>
  <c r="B68"/>
  <c r="P67"/>
  <c r="M67"/>
  <c r="L67"/>
  <c r="K67"/>
  <c r="J67"/>
  <c r="I67"/>
  <c r="H67"/>
  <c r="G67"/>
  <c r="F67"/>
  <c r="E67"/>
  <c r="D67"/>
  <c r="C67"/>
  <c r="B67"/>
  <c r="P66"/>
  <c r="M66"/>
  <c r="L66"/>
  <c r="K66"/>
  <c r="J66"/>
  <c r="I66"/>
  <c r="H66"/>
  <c r="G66"/>
  <c r="F66"/>
  <c r="E66"/>
  <c r="D66"/>
  <c r="C66"/>
  <c r="B66"/>
  <c r="P65"/>
  <c r="M65"/>
  <c r="L65"/>
  <c r="K65"/>
  <c r="J65"/>
  <c r="I65"/>
  <c r="H65"/>
  <c r="G65"/>
  <c r="F65"/>
  <c r="E65"/>
  <c r="D65"/>
  <c r="C65"/>
  <c r="B65"/>
  <c r="P64"/>
  <c r="M64"/>
  <c r="L64"/>
  <c r="K64"/>
  <c r="J64"/>
  <c r="I64"/>
  <c r="H64"/>
  <c r="G64"/>
  <c r="F64"/>
  <c r="E64"/>
  <c r="D64"/>
  <c r="C64"/>
  <c r="B64"/>
  <c r="P63"/>
  <c r="M63"/>
  <c r="L63"/>
  <c r="K63"/>
  <c r="J63"/>
  <c r="I63"/>
  <c r="H63"/>
  <c r="G63"/>
  <c r="F63"/>
  <c r="E63"/>
  <c r="D63"/>
  <c r="C63"/>
  <c r="B63"/>
  <c r="P62"/>
  <c r="M62"/>
  <c r="L62"/>
  <c r="K62"/>
  <c r="J62"/>
  <c r="I62"/>
  <c r="H62"/>
  <c r="G62"/>
  <c r="F62"/>
  <c r="E62"/>
  <c r="D62"/>
  <c r="C62"/>
  <c r="B62"/>
  <c r="P61"/>
  <c r="M61"/>
  <c r="L61"/>
  <c r="K61"/>
  <c r="J61"/>
  <c r="I61"/>
  <c r="H61"/>
  <c r="G61"/>
  <c r="F61"/>
  <c r="E61"/>
  <c r="D61"/>
  <c r="C61"/>
  <c r="B61"/>
  <c r="P60"/>
  <c r="M60"/>
  <c r="L60"/>
  <c r="K60"/>
  <c r="J60"/>
  <c r="I60"/>
  <c r="H60"/>
  <c r="G60"/>
  <c r="F60"/>
  <c r="E60"/>
  <c r="D60"/>
  <c r="C60"/>
  <c r="B60"/>
  <c r="P59"/>
  <c r="M59"/>
  <c r="L59"/>
  <c r="K59"/>
  <c r="J59"/>
  <c r="I59"/>
  <c r="H59"/>
  <c r="G59"/>
  <c r="F59"/>
  <c r="E59"/>
  <c r="D59"/>
  <c r="C59"/>
  <c r="B59"/>
  <c r="P58"/>
  <c r="M58"/>
  <c r="L58"/>
  <c r="K58"/>
  <c r="J58"/>
  <c r="I58"/>
  <c r="H58"/>
  <c r="G58"/>
  <c r="F58"/>
  <c r="D58"/>
  <c r="C58"/>
  <c r="B58"/>
  <c r="P57"/>
  <c r="M57"/>
  <c r="L57"/>
  <c r="K57"/>
  <c r="J57"/>
  <c r="I57"/>
  <c r="H57"/>
  <c r="G57"/>
  <c r="F57"/>
  <c r="E57"/>
  <c r="D57"/>
  <c r="C57"/>
  <c r="B57"/>
  <c r="P56"/>
  <c r="M56"/>
  <c r="L56"/>
  <c r="K56"/>
  <c r="J56"/>
  <c r="I56"/>
  <c r="H56"/>
  <c r="G56"/>
  <c r="F56"/>
  <c r="E56"/>
  <c r="D56"/>
  <c r="C56"/>
  <c r="B56"/>
  <c r="P55"/>
  <c r="M55"/>
  <c r="L55"/>
  <c r="K55"/>
  <c r="J55"/>
  <c r="I55"/>
  <c r="H55"/>
  <c r="G55"/>
  <c r="F55"/>
  <c r="E55"/>
  <c r="D55"/>
  <c r="C55"/>
  <c r="B55"/>
  <c r="P54"/>
  <c r="M54"/>
  <c r="L54"/>
  <c r="K54"/>
  <c r="J54"/>
  <c r="I54"/>
  <c r="H54"/>
  <c r="G54"/>
  <c r="F54"/>
  <c r="E54"/>
  <c r="D54"/>
  <c r="C54"/>
  <c r="B54"/>
  <c r="P53"/>
  <c r="M53"/>
  <c r="L53"/>
  <c r="K53"/>
  <c r="J53"/>
  <c r="I53"/>
  <c r="H53"/>
  <c r="G53"/>
  <c r="F53"/>
  <c r="E53"/>
  <c r="D53"/>
  <c r="C53"/>
  <c r="B53"/>
  <c r="P52"/>
  <c r="M52"/>
  <c r="L52"/>
  <c r="K52"/>
  <c r="J52"/>
  <c r="I52"/>
  <c r="H52"/>
  <c r="G52"/>
  <c r="F52"/>
  <c r="E52"/>
  <c r="D52"/>
  <c r="C52"/>
  <c r="B52"/>
  <c r="P51"/>
  <c r="M51"/>
  <c r="L51"/>
  <c r="K51"/>
  <c r="J51"/>
  <c r="I51"/>
  <c r="H51"/>
  <c r="G51"/>
  <c r="F51"/>
  <c r="E51"/>
  <c r="D51"/>
  <c r="C51"/>
  <c r="B51"/>
  <c r="P50"/>
  <c r="M50"/>
  <c r="L50"/>
  <c r="K50"/>
  <c r="J50"/>
  <c r="I50"/>
  <c r="H50"/>
  <c r="G50"/>
  <c r="F50"/>
  <c r="E50"/>
  <c r="D50"/>
  <c r="C50"/>
  <c r="B50"/>
  <c r="P49"/>
  <c r="M49"/>
  <c r="L49"/>
  <c r="K49"/>
  <c r="J49"/>
  <c r="I49"/>
  <c r="H49"/>
  <c r="G49"/>
  <c r="F49"/>
  <c r="E49"/>
  <c r="D49"/>
  <c r="C49"/>
  <c r="B49"/>
  <c r="P48"/>
  <c r="M48"/>
  <c r="L48"/>
  <c r="K48"/>
  <c r="J48"/>
  <c r="I48"/>
  <c r="H48"/>
  <c r="G48"/>
  <c r="F48"/>
  <c r="E48"/>
  <c r="D48"/>
  <c r="C48"/>
  <c r="B48"/>
  <c r="P47"/>
  <c r="M47"/>
  <c r="L47"/>
  <c r="K47"/>
  <c r="J47"/>
  <c r="I47"/>
  <c r="H47"/>
  <c r="G47"/>
  <c r="F47"/>
  <c r="E47"/>
  <c r="D47"/>
  <c r="C47"/>
  <c r="B47"/>
  <c r="P46"/>
  <c r="M46"/>
  <c r="L46"/>
  <c r="K46"/>
  <c r="J46"/>
  <c r="I46"/>
  <c r="H46"/>
  <c r="G46"/>
  <c r="F46"/>
  <c r="E46"/>
  <c r="D46"/>
  <c r="C46"/>
  <c r="B46"/>
  <c r="P45"/>
  <c r="M45"/>
  <c r="L45"/>
  <c r="K45"/>
  <c r="J45"/>
  <c r="I45"/>
  <c r="H45"/>
  <c r="G45"/>
  <c r="F45"/>
  <c r="E45"/>
  <c r="D45"/>
  <c r="C45"/>
  <c r="B45"/>
  <c r="P44"/>
  <c r="M44"/>
  <c r="L44"/>
  <c r="K44"/>
  <c r="J44"/>
  <c r="I44"/>
  <c r="H44"/>
  <c r="G44"/>
  <c r="F44"/>
  <c r="E44"/>
  <c r="D44"/>
  <c r="C44"/>
  <c r="B44"/>
  <c r="P43"/>
  <c r="M43"/>
  <c r="L43"/>
  <c r="K43"/>
  <c r="J43"/>
  <c r="I43"/>
  <c r="H43"/>
  <c r="G43"/>
  <c r="F43"/>
  <c r="E43"/>
  <c r="D43"/>
  <c r="C43"/>
  <c r="B43"/>
  <c r="P42"/>
  <c r="M42"/>
  <c r="L42"/>
  <c r="K42"/>
  <c r="J42"/>
  <c r="I42"/>
  <c r="H42"/>
  <c r="G42"/>
  <c r="F42"/>
  <c r="E42"/>
  <c r="D42"/>
  <c r="C42"/>
  <c r="B42"/>
  <c r="P41"/>
  <c r="M41"/>
  <c r="L41"/>
  <c r="K41"/>
  <c r="J41"/>
  <c r="I41"/>
  <c r="H41"/>
  <c r="G41"/>
  <c r="F41"/>
  <c r="E41"/>
  <c r="D41"/>
  <c r="C41"/>
  <c r="B41"/>
  <c r="P40"/>
  <c r="M40"/>
  <c r="L40"/>
  <c r="K40"/>
  <c r="J40"/>
  <c r="I40"/>
  <c r="H40"/>
  <c r="G40"/>
  <c r="F40"/>
  <c r="E40"/>
  <c r="D40"/>
  <c r="C40"/>
  <c r="B40"/>
  <c r="P39"/>
  <c r="M39"/>
  <c r="L39"/>
  <c r="K39"/>
  <c r="J39"/>
  <c r="I39"/>
  <c r="H39"/>
  <c r="G39"/>
  <c r="F39"/>
  <c r="E39"/>
  <c r="D39"/>
  <c r="C39"/>
  <c r="B39"/>
  <c r="P38"/>
  <c r="M38"/>
  <c r="L38"/>
  <c r="K38"/>
  <c r="J38"/>
  <c r="I38"/>
  <c r="H38"/>
  <c r="G38"/>
  <c r="F38"/>
  <c r="E38"/>
  <c r="D38"/>
  <c r="C38"/>
  <c r="B38"/>
  <c r="P37"/>
  <c r="M37"/>
  <c r="L37"/>
  <c r="K37"/>
  <c r="J37"/>
  <c r="I37"/>
  <c r="H37"/>
  <c r="G37"/>
  <c r="F37"/>
  <c r="E37"/>
  <c r="D37"/>
  <c r="C37"/>
  <c r="B37"/>
  <c r="P36"/>
  <c r="M36"/>
  <c r="L36"/>
  <c r="K36"/>
  <c r="J36"/>
  <c r="I36"/>
  <c r="H36"/>
  <c r="G36"/>
  <c r="F36"/>
  <c r="E36"/>
  <c r="D36"/>
  <c r="C36"/>
  <c r="B36"/>
  <c r="P35"/>
  <c r="M35"/>
  <c r="L35"/>
  <c r="K35"/>
  <c r="J35"/>
  <c r="I35"/>
  <c r="H35"/>
  <c r="G35"/>
  <c r="F35"/>
  <c r="E35"/>
  <c r="D35"/>
  <c r="C35"/>
  <c r="B35"/>
  <c r="P34"/>
  <c r="M34"/>
  <c r="L34"/>
  <c r="K34"/>
  <c r="J34"/>
  <c r="I34"/>
  <c r="H34"/>
  <c r="G34"/>
  <c r="F34"/>
  <c r="E34"/>
  <c r="D34"/>
  <c r="C34"/>
  <c r="B34"/>
  <c r="P33"/>
  <c r="M33"/>
  <c r="L33"/>
  <c r="K33"/>
  <c r="J33"/>
  <c r="I33"/>
  <c r="H33"/>
  <c r="G33"/>
  <c r="F33"/>
  <c r="E33"/>
  <c r="D33"/>
  <c r="C33"/>
  <c r="B33"/>
  <c r="P32"/>
  <c r="M32"/>
  <c r="L32"/>
  <c r="K32"/>
  <c r="J32"/>
  <c r="I32"/>
  <c r="H32"/>
  <c r="G32"/>
  <c r="F32"/>
  <c r="E32"/>
  <c r="D32"/>
  <c r="C32"/>
  <c r="B32"/>
  <c r="P31"/>
  <c r="M31"/>
  <c r="L31"/>
  <c r="K31"/>
  <c r="J31"/>
  <c r="I31"/>
  <c r="H31"/>
  <c r="G31"/>
  <c r="F31"/>
  <c r="E31"/>
  <c r="D31"/>
  <c r="C31"/>
  <c r="B31"/>
  <c r="P30"/>
  <c r="M30"/>
  <c r="L30"/>
  <c r="K30"/>
  <c r="J30"/>
  <c r="I30"/>
  <c r="H30"/>
  <c r="G30"/>
  <c r="F30"/>
  <c r="E30"/>
  <c r="D30"/>
  <c r="C30"/>
  <c r="B30"/>
  <c r="P29"/>
  <c r="M29"/>
  <c r="L29"/>
  <c r="K29"/>
  <c r="J29"/>
  <c r="I29"/>
  <c r="H29"/>
  <c r="G29"/>
  <c r="F29"/>
  <c r="E29"/>
  <c r="D29"/>
  <c r="C29"/>
  <c r="B29"/>
  <c r="P28"/>
  <c r="M28"/>
  <c r="L28"/>
  <c r="K28"/>
  <c r="J28"/>
  <c r="I28"/>
  <c r="H28"/>
  <c r="G28"/>
  <c r="F28"/>
  <c r="E28"/>
  <c r="D28"/>
  <c r="C28"/>
  <c r="B28"/>
  <c r="P27"/>
  <c r="M27"/>
  <c r="L27"/>
  <c r="K27"/>
  <c r="J27"/>
  <c r="I27"/>
  <c r="H27"/>
  <c r="G27"/>
  <c r="F27"/>
  <c r="E27"/>
  <c r="D27"/>
  <c r="C27"/>
  <c r="B27"/>
  <c r="P26"/>
  <c r="M26"/>
  <c r="L26"/>
  <c r="K26"/>
  <c r="J26"/>
  <c r="I26"/>
  <c r="H26"/>
  <c r="G26"/>
  <c r="F26"/>
  <c r="E26"/>
  <c r="D26"/>
  <c r="C26"/>
  <c r="B26"/>
  <c r="P25"/>
  <c r="M25"/>
  <c r="L25"/>
  <c r="K25"/>
  <c r="J25"/>
  <c r="I25"/>
  <c r="H25"/>
  <c r="G25"/>
  <c r="F25"/>
  <c r="E25"/>
  <c r="D25"/>
  <c r="C25"/>
  <c r="B25"/>
  <c r="P24"/>
  <c r="M24"/>
  <c r="L24"/>
  <c r="K24"/>
  <c r="J24"/>
  <c r="I24"/>
  <c r="H24"/>
  <c r="G24"/>
  <c r="F24"/>
  <c r="E24"/>
  <c r="D24"/>
  <c r="C24"/>
  <c r="B24"/>
  <c r="P23"/>
  <c r="M23"/>
  <c r="L23"/>
  <c r="K23"/>
  <c r="J23"/>
  <c r="I23"/>
  <c r="H23"/>
  <c r="G23"/>
  <c r="F23"/>
  <c r="E23"/>
  <c r="D23"/>
  <c r="C23"/>
  <c r="B23"/>
  <c r="P22"/>
  <c r="M22"/>
  <c r="L22"/>
  <c r="K22"/>
  <c r="J22"/>
  <c r="I22"/>
  <c r="H22"/>
  <c r="G22"/>
  <c r="F22"/>
  <c r="E22"/>
  <c r="D22"/>
  <c r="C22"/>
  <c r="B22"/>
  <c r="P21"/>
  <c r="M21"/>
  <c r="L21"/>
  <c r="K21"/>
  <c r="J21"/>
  <c r="I21"/>
  <c r="H21"/>
  <c r="G21"/>
  <c r="F21"/>
  <c r="E21"/>
  <c r="D21"/>
  <c r="C21"/>
  <c r="B21"/>
  <c r="P20"/>
  <c r="M20"/>
  <c r="L20"/>
  <c r="K20"/>
  <c r="J20"/>
  <c r="I20"/>
  <c r="H20"/>
  <c r="G20"/>
  <c r="F20"/>
  <c r="E20"/>
  <c r="D20"/>
  <c r="C20"/>
  <c r="B20"/>
  <c r="P19"/>
  <c r="M19"/>
  <c r="L19"/>
  <c r="K19"/>
  <c r="J19"/>
  <c r="I19"/>
  <c r="H19"/>
  <c r="G19"/>
  <c r="F19"/>
  <c r="E19"/>
  <c r="D19"/>
  <c r="C19"/>
  <c r="B19"/>
  <c r="P18"/>
  <c r="M18"/>
  <c r="L18"/>
  <c r="K18"/>
  <c r="J18"/>
  <c r="I18"/>
  <c r="H18"/>
  <c r="G18"/>
  <c r="F18"/>
  <c r="E18"/>
  <c r="D18"/>
  <c r="C18"/>
  <c r="B18"/>
  <c r="P17"/>
  <c r="M17"/>
  <c r="L17"/>
  <c r="K17"/>
  <c r="J17"/>
  <c r="I17"/>
  <c r="H17"/>
  <c r="G17"/>
  <c r="F17"/>
  <c r="E17"/>
  <c r="D17"/>
  <c r="C17"/>
  <c r="B17"/>
  <c r="P16"/>
  <c r="M16"/>
  <c r="L16"/>
  <c r="K16"/>
  <c r="J16"/>
  <c r="I16"/>
  <c r="H16"/>
  <c r="G16"/>
  <c r="F16"/>
  <c r="E16"/>
  <c r="D16"/>
  <c r="C16"/>
  <c r="B16"/>
  <c r="P15"/>
  <c r="M15"/>
  <c r="L15"/>
  <c r="K15"/>
  <c r="J15"/>
  <c r="I15"/>
  <c r="H15"/>
  <c r="G15"/>
  <c r="F15"/>
  <c r="E15"/>
  <c r="D15"/>
  <c r="C15"/>
  <c r="B15"/>
  <c r="P14"/>
  <c r="M14"/>
  <c r="L14"/>
  <c r="K14"/>
  <c r="J14"/>
  <c r="I14"/>
  <c r="H14"/>
  <c r="G14"/>
  <c r="F14"/>
  <c r="E14"/>
  <c r="D14"/>
  <c r="C14"/>
  <c r="B14"/>
  <c r="P13"/>
  <c r="M13"/>
  <c r="L13"/>
  <c r="K13"/>
  <c r="J13"/>
  <c r="I13"/>
  <c r="H13"/>
  <c r="G13"/>
  <c r="F13"/>
  <c r="E13"/>
  <c r="D13"/>
  <c r="C13"/>
  <c r="B13"/>
  <c r="P12"/>
  <c r="M12"/>
  <c r="L12"/>
  <c r="K12"/>
  <c r="J12"/>
  <c r="I12"/>
  <c r="H12"/>
  <c r="G12"/>
  <c r="F12"/>
  <c r="E12"/>
  <c r="D12"/>
  <c r="C12"/>
  <c r="B12"/>
  <c r="P11"/>
  <c r="M11"/>
  <c r="L11"/>
  <c r="K11"/>
  <c r="J11"/>
  <c r="I11"/>
  <c r="H11"/>
  <c r="G11"/>
  <c r="F11"/>
  <c r="E11"/>
  <c r="D11"/>
  <c r="C11"/>
  <c r="B11"/>
  <c r="P10"/>
  <c r="M10"/>
  <c r="L10"/>
  <c r="K10"/>
  <c r="J10"/>
  <c r="I10"/>
  <c r="H10"/>
  <c r="G10"/>
  <c r="F10"/>
  <c r="E10"/>
  <c r="D10"/>
  <c r="C10"/>
  <c r="B10"/>
  <c r="P9"/>
  <c r="M9"/>
  <c r="L9"/>
  <c r="K9"/>
  <c r="J9"/>
  <c r="I9"/>
  <c r="H9"/>
  <c r="G9"/>
  <c r="F9"/>
  <c r="E9"/>
  <c r="D9"/>
  <c r="C9"/>
  <c r="B9"/>
  <c r="P8"/>
  <c r="M8"/>
  <c r="L8"/>
  <c r="K8"/>
  <c r="J8"/>
  <c r="I8"/>
  <c r="H8"/>
  <c r="G8"/>
  <c r="F8"/>
  <c r="E8"/>
  <c r="D8"/>
  <c r="C8"/>
  <c r="B8"/>
  <c r="P7"/>
  <c r="M7"/>
  <c r="L7"/>
  <c r="K7"/>
  <c r="J7"/>
  <c r="I7"/>
  <c r="H7"/>
  <c r="G7"/>
  <c r="F7"/>
  <c r="E7"/>
  <c r="D7"/>
  <c r="C7"/>
  <c r="B7"/>
  <c r="P6"/>
  <c r="M6"/>
  <c r="L6"/>
  <c r="K6"/>
  <c r="J6"/>
  <c r="I6"/>
  <c r="H6"/>
  <c r="G6"/>
  <c r="F6"/>
  <c r="E6"/>
  <c r="D6"/>
  <c r="C6"/>
  <c r="B6"/>
  <c r="P5"/>
  <c r="M5"/>
  <c r="L5"/>
  <c r="K5"/>
  <c r="J5"/>
  <c r="I5"/>
  <c r="H5"/>
  <c r="G5"/>
  <c r="F5"/>
  <c r="E5"/>
  <c r="D5"/>
  <c r="C5"/>
  <c r="B5"/>
  <c r="P4"/>
  <c r="M4"/>
  <c r="L4"/>
  <c r="K4"/>
  <c r="J4"/>
  <c r="I4"/>
  <c r="H4"/>
  <c r="G4"/>
  <c r="F4"/>
  <c r="E4"/>
  <c r="D4"/>
  <c r="C4"/>
  <c r="B4"/>
  <c r="P3"/>
  <c r="M3"/>
  <c r="L3"/>
  <c r="K3"/>
  <c r="J3"/>
  <c r="I3"/>
  <c r="H3"/>
  <c r="G3"/>
  <c r="F3"/>
  <c r="E3"/>
  <c r="D3"/>
  <c r="C3"/>
  <c r="B3"/>
  <c r="P108" i="6"/>
  <c r="M108"/>
  <c r="L108"/>
  <c r="K108"/>
  <c r="J108"/>
  <c r="I108"/>
  <c r="H108"/>
  <c r="G108"/>
  <c r="F108"/>
  <c r="E108"/>
  <c r="D108"/>
  <c r="C108"/>
  <c r="B108"/>
  <c r="P107"/>
  <c r="M107"/>
  <c r="L107"/>
  <c r="K107"/>
  <c r="J107"/>
  <c r="I107"/>
  <c r="H107"/>
  <c r="G107"/>
  <c r="F107"/>
  <c r="E107"/>
  <c r="D107"/>
  <c r="C107"/>
  <c r="B107"/>
  <c r="P106"/>
  <c r="M106"/>
  <c r="L106"/>
  <c r="K106"/>
  <c r="J106"/>
  <c r="I106"/>
  <c r="H106"/>
  <c r="G106"/>
  <c r="F106"/>
  <c r="E106"/>
  <c r="D106"/>
  <c r="C106"/>
  <c r="B106"/>
  <c r="P105"/>
  <c r="M105"/>
  <c r="L105"/>
  <c r="K105"/>
  <c r="J105"/>
  <c r="I105"/>
  <c r="H105"/>
  <c r="G105"/>
  <c r="F105"/>
  <c r="E105"/>
  <c r="D105"/>
  <c r="C105"/>
  <c r="B105"/>
  <c r="P104"/>
  <c r="M104"/>
  <c r="L104"/>
  <c r="K104"/>
  <c r="J104"/>
  <c r="I104"/>
  <c r="H104"/>
  <c r="G104"/>
  <c r="F104"/>
  <c r="E104"/>
  <c r="D104"/>
  <c r="C104"/>
  <c r="B104"/>
  <c r="P103"/>
  <c r="M103"/>
  <c r="L103"/>
  <c r="K103"/>
  <c r="J103"/>
  <c r="I103"/>
  <c r="H103"/>
  <c r="G103"/>
  <c r="F103"/>
  <c r="E103"/>
  <c r="D103"/>
  <c r="C103"/>
  <c r="B103"/>
  <c r="P102"/>
  <c r="M102"/>
  <c r="L102"/>
  <c r="K102"/>
  <c r="J102"/>
  <c r="I102"/>
  <c r="H102"/>
  <c r="G102"/>
  <c r="F102"/>
  <c r="E102"/>
  <c r="D102"/>
  <c r="C102"/>
  <c r="B102"/>
  <c r="P101"/>
  <c r="M101"/>
  <c r="L101"/>
  <c r="K101"/>
  <c r="J101"/>
  <c r="I101"/>
  <c r="H101"/>
  <c r="G101"/>
  <c r="F101"/>
  <c r="E101"/>
  <c r="D101"/>
  <c r="C101"/>
  <c r="B101"/>
  <c r="P100"/>
  <c r="M100"/>
  <c r="L100"/>
  <c r="K100"/>
  <c r="J100"/>
  <c r="I100"/>
  <c r="H100"/>
  <c r="G100"/>
  <c r="F100"/>
  <c r="E100"/>
  <c r="D100"/>
  <c r="C100"/>
  <c r="B100"/>
  <c r="P99"/>
  <c r="M99"/>
  <c r="L99"/>
  <c r="K99"/>
  <c r="J99"/>
  <c r="I99"/>
  <c r="H99"/>
  <c r="G99"/>
  <c r="F99"/>
  <c r="E99"/>
  <c r="D99"/>
  <c r="C99"/>
  <c r="B99"/>
  <c r="P98"/>
  <c r="M98"/>
  <c r="L98"/>
  <c r="K98"/>
  <c r="J98"/>
  <c r="I98"/>
  <c r="H98"/>
  <c r="G98"/>
  <c r="F98"/>
  <c r="E98"/>
  <c r="D98"/>
  <c r="C98"/>
  <c r="B98"/>
  <c r="P97"/>
  <c r="M97"/>
  <c r="L97"/>
  <c r="K97"/>
  <c r="J97"/>
  <c r="I97"/>
  <c r="H97"/>
  <c r="G97"/>
  <c r="F97"/>
  <c r="E97"/>
  <c r="D97"/>
  <c r="C97"/>
  <c r="B97"/>
  <c r="P96"/>
  <c r="M96"/>
  <c r="L96"/>
  <c r="K96"/>
  <c r="J96"/>
  <c r="I96"/>
  <c r="H96"/>
  <c r="G96"/>
  <c r="F96"/>
  <c r="E96"/>
  <c r="D96"/>
  <c r="C96"/>
  <c r="B96"/>
  <c r="P95"/>
  <c r="M95"/>
  <c r="L95"/>
  <c r="K95"/>
  <c r="J95"/>
  <c r="I95"/>
  <c r="H95"/>
  <c r="G95"/>
  <c r="F95"/>
  <c r="E95"/>
  <c r="D95"/>
  <c r="C95"/>
  <c r="B95"/>
  <c r="P94"/>
  <c r="M94"/>
  <c r="L94"/>
  <c r="K94"/>
  <c r="J94"/>
  <c r="I94"/>
  <c r="H94"/>
  <c r="G94"/>
  <c r="F94"/>
  <c r="E94"/>
  <c r="D94"/>
  <c r="C94"/>
  <c r="B94"/>
  <c r="P93"/>
  <c r="M93"/>
  <c r="L93"/>
  <c r="K93"/>
  <c r="J93"/>
  <c r="I93"/>
  <c r="H93"/>
  <c r="G93"/>
  <c r="F93"/>
  <c r="E93"/>
  <c r="D93"/>
  <c r="C93"/>
  <c r="B93"/>
  <c r="P92"/>
  <c r="M92"/>
  <c r="L92"/>
  <c r="K92"/>
  <c r="J92"/>
  <c r="I92"/>
  <c r="H92"/>
  <c r="G92"/>
  <c r="F92"/>
  <c r="E92"/>
  <c r="D92"/>
  <c r="C92"/>
  <c r="B92"/>
  <c r="P91"/>
  <c r="M91"/>
  <c r="L91"/>
  <c r="K91"/>
  <c r="J91"/>
  <c r="I91"/>
  <c r="H91"/>
  <c r="G91"/>
  <c r="F91"/>
  <c r="E91"/>
  <c r="D91"/>
  <c r="C91"/>
  <c r="B91"/>
  <c r="P90"/>
  <c r="M90"/>
  <c r="L90"/>
  <c r="K90"/>
  <c r="J90"/>
  <c r="I90"/>
  <c r="H90"/>
  <c r="G90"/>
  <c r="F90"/>
  <c r="E90"/>
  <c r="D90"/>
  <c r="C90"/>
  <c r="B90"/>
  <c r="P89"/>
  <c r="M89"/>
  <c r="L89"/>
  <c r="K89"/>
  <c r="J89"/>
  <c r="I89"/>
  <c r="H89"/>
  <c r="G89"/>
  <c r="F89"/>
  <c r="E89"/>
  <c r="D89"/>
  <c r="C89"/>
  <c r="B89"/>
  <c r="P88"/>
  <c r="M88"/>
  <c r="L88"/>
  <c r="K88"/>
  <c r="J88"/>
  <c r="I88"/>
  <c r="H88"/>
  <c r="G88"/>
  <c r="F88"/>
  <c r="E88"/>
  <c r="D88"/>
  <c r="C88"/>
  <c r="B88"/>
  <c r="P87"/>
  <c r="M87"/>
  <c r="L87"/>
  <c r="K87"/>
  <c r="J87"/>
  <c r="I87"/>
  <c r="H87"/>
  <c r="G87"/>
  <c r="F87"/>
  <c r="E87"/>
  <c r="D87"/>
  <c r="C87"/>
  <c r="B87"/>
  <c r="P86"/>
  <c r="M86"/>
  <c r="L86"/>
  <c r="K86"/>
  <c r="J86"/>
  <c r="I86"/>
  <c r="H86"/>
  <c r="G86"/>
  <c r="F86"/>
  <c r="E86"/>
  <c r="D86"/>
  <c r="C86"/>
  <c r="B86"/>
  <c r="P85"/>
  <c r="M85"/>
  <c r="L85"/>
  <c r="K85"/>
  <c r="J85"/>
  <c r="I85"/>
  <c r="H85"/>
  <c r="G85"/>
  <c r="F85"/>
  <c r="E85"/>
  <c r="D85"/>
  <c r="C85"/>
  <c r="B85"/>
  <c r="P84"/>
  <c r="M84"/>
  <c r="L84"/>
  <c r="K84"/>
  <c r="J84"/>
  <c r="I84"/>
  <c r="H84"/>
  <c r="G84"/>
  <c r="F84"/>
  <c r="E84"/>
  <c r="D84"/>
  <c r="C84"/>
  <c r="B84"/>
  <c r="P83"/>
  <c r="M83"/>
  <c r="L83"/>
  <c r="K83"/>
  <c r="J83"/>
  <c r="I83"/>
  <c r="H83"/>
  <c r="G83"/>
  <c r="F83"/>
  <c r="E83"/>
  <c r="D83"/>
  <c r="C83"/>
  <c r="B83"/>
  <c r="P82"/>
  <c r="M82"/>
  <c r="L82"/>
  <c r="K82"/>
  <c r="J82"/>
  <c r="I82"/>
  <c r="H82"/>
  <c r="G82"/>
  <c r="F82"/>
  <c r="E82"/>
  <c r="D82"/>
  <c r="C82"/>
  <c r="B82"/>
  <c r="P81"/>
  <c r="M81"/>
  <c r="L81"/>
  <c r="K81"/>
  <c r="J81"/>
  <c r="I81"/>
  <c r="H81"/>
  <c r="G81"/>
  <c r="F81"/>
  <c r="E81"/>
  <c r="D81"/>
  <c r="C81"/>
  <c r="B81"/>
  <c r="P80"/>
  <c r="M80"/>
  <c r="L80"/>
  <c r="K80"/>
  <c r="J80"/>
  <c r="I80"/>
  <c r="H80"/>
  <c r="G80"/>
  <c r="F80"/>
  <c r="D80"/>
  <c r="C80"/>
  <c r="B80"/>
  <c r="P79"/>
  <c r="M79"/>
  <c r="L79"/>
  <c r="K79"/>
  <c r="J79"/>
  <c r="I79"/>
  <c r="H79"/>
  <c r="G79"/>
  <c r="F79"/>
  <c r="E79"/>
  <c r="D79"/>
  <c r="C79"/>
  <c r="B79"/>
  <c r="P78"/>
  <c r="M78"/>
  <c r="L78"/>
  <c r="K78"/>
  <c r="J78"/>
  <c r="I78"/>
  <c r="H78"/>
  <c r="G78"/>
  <c r="F78"/>
  <c r="E78"/>
  <c r="D78"/>
  <c r="C78"/>
  <c r="B78"/>
  <c r="P77"/>
  <c r="M77"/>
  <c r="L77"/>
  <c r="K77"/>
  <c r="J77"/>
  <c r="I77"/>
  <c r="H77"/>
  <c r="G77"/>
  <c r="F77"/>
  <c r="E77"/>
  <c r="D77"/>
  <c r="C77"/>
  <c r="B77"/>
  <c r="P76"/>
  <c r="M76"/>
  <c r="L76"/>
  <c r="K76"/>
  <c r="J76"/>
  <c r="I76"/>
  <c r="H76"/>
  <c r="G76"/>
  <c r="F76"/>
  <c r="E76"/>
  <c r="D76"/>
  <c r="C76"/>
  <c r="B76"/>
  <c r="P75"/>
  <c r="M75"/>
  <c r="L75"/>
  <c r="K75"/>
  <c r="J75"/>
  <c r="I75"/>
  <c r="H75"/>
  <c r="G75"/>
  <c r="F75"/>
  <c r="E75"/>
  <c r="D75"/>
  <c r="C75"/>
  <c r="B75"/>
  <c r="P74"/>
  <c r="M74"/>
  <c r="L74"/>
  <c r="K74"/>
  <c r="J74"/>
  <c r="I74"/>
  <c r="H74"/>
  <c r="G74"/>
  <c r="F74"/>
  <c r="E74"/>
  <c r="D74"/>
  <c r="C74"/>
  <c r="B74"/>
  <c r="P73"/>
  <c r="M73"/>
  <c r="L73"/>
  <c r="K73"/>
  <c r="J73"/>
  <c r="I73"/>
  <c r="H73"/>
  <c r="G73"/>
  <c r="F73"/>
  <c r="E73"/>
  <c r="D73"/>
  <c r="C73"/>
  <c r="B73"/>
  <c r="P72"/>
  <c r="M72"/>
  <c r="L72"/>
  <c r="K72"/>
  <c r="J72"/>
  <c r="I72"/>
  <c r="H72"/>
  <c r="G72"/>
  <c r="F72"/>
  <c r="E72"/>
  <c r="D72"/>
  <c r="C72"/>
  <c r="B72"/>
  <c r="P71"/>
  <c r="M71"/>
  <c r="L71"/>
  <c r="K71"/>
  <c r="J71"/>
  <c r="I71"/>
  <c r="H71"/>
  <c r="G71"/>
  <c r="F71"/>
  <c r="E71"/>
  <c r="D71"/>
  <c r="C71"/>
  <c r="B71"/>
  <c r="P70"/>
  <c r="M70"/>
  <c r="L70"/>
  <c r="K70"/>
  <c r="J70"/>
  <c r="I70"/>
  <c r="H70"/>
  <c r="G70"/>
  <c r="F70"/>
  <c r="E70"/>
  <c r="D70"/>
  <c r="C70"/>
  <c r="B70"/>
  <c r="P69"/>
  <c r="M69"/>
  <c r="L69"/>
  <c r="K69"/>
  <c r="J69"/>
  <c r="I69"/>
  <c r="H69"/>
  <c r="G69"/>
  <c r="F69"/>
  <c r="E69"/>
  <c r="D69"/>
  <c r="C69"/>
  <c r="B69"/>
  <c r="P68"/>
  <c r="M68"/>
  <c r="L68"/>
  <c r="K68"/>
  <c r="J68"/>
  <c r="I68"/>
  <c r="H68"/>
  <c r="G68"/>
  <c r="F68"/>
  <c r="E68"/>
  <c r="D68"/>
  <c r="C68"/>
  <c r="B68"/>
  <c r="P67"/>
  <c r="M67"/>
  <c r="L67"/>
  <c r="K67"/>
  <c r="J67"/>
  <c r="I67"/>
  <c r="H67"/>
  <c r="G67"/>
  <c r="F67"/>
  <c r="E67"/>
  <c r="D67"/>
  <c r="C67"/>
  <c r="B67"/>
  <c r="P66"/>
  <c r="M66"/>
  <c r="L66"/>
  <c r="K66"/>
  <c r="J66"/>
  <c r="I66"/>
  <c r="H66"/>
  <c r="G66"/>
  <c r="F66"/>
  <c r="E66"/>
  <c r="D66"/>
  <c r="C66"/>
  <c r="B66"/>
  <c r="P65"/>
  <c r="M65"/>
  <c r="L65"/>
  <c r="K65"/>
  <c r="J65"/>
  <c r="I65"/>
  <c r="H65"/>
  <c r="G65"/>
  <c r="F65"/>
  <c r="E65"/>
  <c r="D65"/>
  <c r="C65"/>
  <c r="B65"/>
  <c r="P64"/>
  <c r="M64"/>
  <c r="L64"/>
  <c r="K64"/>
  <c r="J64"/>
  <c r="I64"/>
  <c r="H64"/>
  <c r="G64"/>
  <c r="F64"/>
  <c r="E64"/>
  <c r="D64"/>
  <c r="C64"/>
  <c r="B64"/>
  <c r="P63"/>
  <c r="M63"/>
  <c r="L63"/>
  <c r="K63"/>
  <c r="J63"/>
  <c r="I63"/>
  <c r="H63"/>
  <c r="G63"/>
  <c r="F63"/>
  <c r="E63"/>
  <c r="D63"/>
  <c r="C63"/>
  <c r="B63"/>
  <c r="P62"/>
  <c r="M62"/>
  <c r="L62"/>
  <c r="K62"/>
  <c r="J62"/>
  <c r="I62"/>
  <c r="H62"/>
  <c r="G62"/>
  <c r="F62"/>
  <c r="E62"/>
  <c r="D62"/>
  <c r="C62"/>
  <c r="B62"/>
  <c r="P61"/>
  <c r="M61"/>
  <c r="L61"/>
  <c r="K61"/>
  <c r="J61"/>
  <c r="I61"/>
  <c r="H61"/>
  <c r="G61"/>
  <c r="F61"/>
  <c r="E61"/>
  <c r="D61"/>
  <c r="C61"/>
  <c r="B61"/>
  <c r="P60"/>
  <c r="M60"/>
  <c r="L60"/>
  <c r="K60"/>
  <c r="J60"/>
  <c r="I60"/>
  <c r="H60"/>
  <c r="G60"/>
  <c r="F60"/>
  <c r="E60"/>
  <c r="D60"/>
  <c r="C60"/>
  <c r="B60"/>
  <c r="P59"/>
  <c r="M59"/>
  <c r="L59"/>
  <c r="K59"/>
  <c r="J59"/>
  <c r="I59"/>
  <c r="H59"/>
  <c r="G59"/>
  <c r="F59"/>
  <c r="E59"/>
  <c r="D59"/>
  <c r="C59"/>
  <c r="B59"/>
  <c r="P58"/>
  <c r="M58"/>
  <c r="L58"/>
  <c r="K58"/>
  <c r="J58"/>
  <c r="I58"/>
  <c r="H58"/>
  <c r="G58"/>
  <c r="F58"/>
  <c r="E58"/>
  <c r="D58"/>
  <c r="C58"/>
  <c r="B58"/>
  <c r="P57"/>
  <c r="M57"/>
  <c r="L57"/>
  <c r="K57"/>
  <c r="J57"/>
  <c r="I57"/>
  <c r="H57"/>
  <c r="G57"/>
  <c r="F57"/>
  <c r="E57"/>
  <c r="D57"/>
  <c r="C57"/>
  <c r="B57"/>
  <c r="P56"/>
  <c r="M56"/>
  <c r="L56"/>
  <c r="K56"/>
  <c r="J56"/>
  <c r="I56"/>
  <c r="H56"/>
  <c r="G56"/>
  <c r="F56"/>
  <c r="E56"/>
  <c r="D56"/>
  <c r="C56"/>
  <c r="B56"/>
  <c r="P55"/>
  <c r="M55"/>
  <c r="L55"/>
  <c r="K55"/>
  <c r="J55"/>
  <c r="I55"/>
  <c r="H55"/>
  <c r="G55"/>
  <c r="F55"/>
  <c r="E55"/>
  <c r="D55"/>
  <c r="C55"/>
  <c r="B55"/>
  <c r="P54"/>
  <c r="M54"/>
  <c r="L54"/>
  <c r="K54"/>
  <c r="J54"/>
  <c r="I54"/>
  <c r="H54"/>
  <c r="G54"/>
  <c r="F54"/>
  <c r="E54"/>
  <c r="D54"/>
  <c r="C54"/>
  <c r="B54"/>
  <c r="P53"/>
  <c r="M53"/>
  <c r="L53"/>
  <c r="K53"/>
  <c r="J53"/>
  <c r="I53"/>
  <c r="H53"/>
  <c r="G53"/>
  <c r="F53"/>
  <c r="E53"/>
  <c r="D53"/>
  <c r="C53"/>
  <c r="B53"/>
  <c r="P52"/>
  <c r="M52"/>
  <c r="L52"/>
  <c r="K52"/>
  <c r="J52"/>
  <c r="I52"/>
  <c r="H52"/>
  <c r="G52"/>
  <c r="F52"/>
  <c r="E52"/>
  <c r="D52"/>
  <c r="C52"/>
  <c r="B52"/>
  <c r="P51"/>
  <c r="M51"/>
  <c r="L51"/>
  <c r="K51"/>
  <c r="J51"/>
  <c r="I51"/>
  <c r="H51"/>
  <c r="G51"/>
  <c r="F51"/>
  <c r="E51"/>
  <c r="D51"/>
  <c r="C51"/>
  <c r="B51"/>
  <c r="P50"/>
  <c r="M50"/>
  <c r="L50"/>
  <c r="K50"/>
  <c r="J50"/>
  <c r="I50"/>
  <c r="H50"/>
  <c r="G50"/>
  <c r="F50"/>
  <c r="E50"/>
  <c r="D50"/>
  <c r="C50"/>
  <c r="B50"/>
  <c r="P49"/>
  <c r="M49"/>
  <c r="L49"/>
  <c r="K49"/>
  <c r="J49"/>
  <c r="I49"/>
  <c r="H49"/>
  <c r="G49"/>
  <c r="F49"/>
  <c r="E49"/>
  <c r="D49"/>
  <c r="C49"/>
  <c r="B49"/>
  <c r="P48"/>
  <c r="M48"/>
  <c r="L48"/>
  <c r="K48"/>
  <c r="J48"/>
  <c r="I48"/>
  <c r="H48"/>
  <c r="G48"/>
  <c r="F48"/>
  <c r="E48"/>
  <c r="D48"/>
  <c r="C48"/>
  <c r="B48"/>
  <c r="P47"/>
  <c r="M47"/>
  <c r="L47"/>
  <c r="K47"/>
  <c r="J47"/>
  <c r="I47"/>
  <c r="H47"/>
  <c r="G47"/>
  <c r="F47"/>
  <c r="E47"/>
  <c r="D47"/>
  <c r="C47"/>
  <c r="B47"/>
  <c r="P46"/>
  <c r="M46"/>
  <c r="L46"/>
  <c r="K46"/>
  <c r="J46"/>
  <c r="I46"/>
  <c r="H46"/>
  <c r="G46"/>
  <c r="F46"/>
  <c r="E46"/>
  <c r="D46"/>
  <c r="C46"/>
  <c r="B46"/>
  <c r="P45"/>
  <c r="M45"/>
  <c r="L45"/>
  <c r="K45"/>
  <c r="J45"/>
  <c r="I45"/>
  <c r="H45"/>
  <c r="G45"/>
  <c r="F45"/>
  <c r="E45"/>
  <c r="D45"/>
  <c r="C45"/>
  <c r="B45"/>
  <c r="P44"/>
  <c r="M44"/>
  <c r="L44"/>
  <c r="K44"/>
  <c r="J44"/>
  <c r="I44"/>
  <c r="H44"/>
  <c r="G44"/>
  <c r="F44"/>
  <c r="E44"/>
  <c r="D44"/>
  <c r="C44"/>
  <c r="B44"/>
  <c r="P43"/>
  <c r="M43"/>
  <c r="L43"/>
  <c r="K43"/>
  <c r="J43"/>
  <c r="I43"/>
  <c r="H43"/>
  <c r="G43"/>
  <c r="F43"/>
  <c r="E43"/>
  <c r="D43"/>
  <c r="C43"/>
  <c r="B43"/>
  <c r="P42"/>
  <c r="M42"/>
  <c r="L42"/>
  <c r="K42"/>
  <c r="J42"/>
  <c r="I42"/>
  <c r="H42"/>
  <c r="G42"/>
  <c r="F42"/>
  <c r="E42"/>
  <c r="D42"/>
  <c r="C42"/>
  <c r="B42"/>
  <c r="P41"/>
  <c r="M41"/>
  <c r="L41"/>
  <c r="K41"/>
  <c r="J41"/>
  <c r="I41"/>
  <c r="H41"/>
  <c r="G41"/>
  <c r="F41"/>
  <c r="E41"/>
  <c r="D41"/>
  <c r="C41"/>
  <c r="B41"/>
  <c r="P40"/>
  <c r="M40"/>
  <c r="L40"/>
  <c r="K40"/>
  <c r="J40"/>
  <c r="I40"/>
  <c r="H40"/>
  <c r="G40"/>
  <c r="F40"/>
  <c r="E40"/>
  <c r="D40"/>
  <c r="C40"/>
  <c r="B40"/>
  <c r="P39"/>
  <c r="M39"/>
  <c r="L39"/>
  <c r="K39"/>
  <c r="J39"/>
  <c r="I39"/>
  <c r="H39"/>
  <c r="G39"/>
  <c r="F39"/>
  <c r="E39"/>
  <c r="D39"/>
  <c r="C39"/>
  <c r="B39"/>
  <c r="P38"/>
  <c r="M38"/>
  <c r="L38"/>
  <c r="K38"/>
  <c r="J38"/>
  <c r="I38"/>
  <c r="H38"/>
  <c r="G38"/>
  <c r="F38"/>
  <c r="E38"/>
  <c r="D38"/>
  <c r="C38"/>
  <c r="B38"/>
  <c r="P37"/>
  <c r="M37"/>
  <c r="L37"/>
  <c r="K37"/>
  <c r="J37"/>
  <c r="I37"/>
  <c r="H37"/>
  <c r="G37"/>
  <c r="F37"/>
  <c r="E37"/>
  <c r="D37"/>
  <c r="C37"/>
  <c r="B37"/>
  <c r="P36"/>
  <c r="M36"/>
  <c r="L36"/>
  <c r="K36"/>
  <c r="J36"/>
  <c r="I36"/>
  <c r="H36"/>
  <c r="G36"/>
  <c r="F36"/>
  <c r="E36"/>
  <c r="D36"/>
  <c r="C36"/>
  <c r="B36"/>
  <c r="P35"/>
  <c r="M35"/>
  <c r="L35"/>
  <c r="K35"/>
  <c r="J35"/>
  <c r="I35"/>
  <c r="H35"/>
  <c r="G35"/>
  <c r="F35"/>
  <c r="E35"/>
  <c r="D35"/>
  <c r="C35"/>
  <c r="B35"/>
  <c r="P34"/>
  <c r="M34"/>
  <c r="L34"/>
  <c r="K34"/>
  <c r="J34"/>
  <c r="I34"/>
  <c r="H34"/>
  <c r="G34"/>
  <c r="F34"/>
  <c r="E34"/>
  <c r="D34"/>
  <c r="C34"/>
  <c r="B34"/>
  <c r="P33"/>
  <c r="M33"/>
  <c r="L33"/>
  <c r="K33"/>
  <c r="J33"/>
  <c r="I33"/>
  <c r="H33"/>
  <c r="G33"/>
  <c r="F33"/>
  <c r="E33"/>
  <c r="D33"/>
  <c r="C33"/>
  <c r="B33"/>
  <c r="P32"/>
  <c r="M32"/>
  <c r="L32"/>
  <c r="K32"/>
  <c r="J32"/>
  <c r="I32"/>
  <c r="H32"/>
  <c r="G32"/>
  <c r="F32"/>
  <c r="E32"/>
  <c r="D32"/>
  <c r="C32"/>
  <c r="B32"/>
  <c r="P31"/>
  <c r="M31"/>
  <c r="L31"/>
  <c r="K31"/>
  <c r="J31"/>
  <c r="I31"/>
  <c r="H31"/>
  <c r="G31"/>
  <c r="F31"/>
  <c r="E31"/>
  <c r="D31"/>
  <c r="C31"/>
  <c r="B31"/>
  <c r="P30"/>
  <c r="M30"/>
  <c r="L30"/>
  <c r="K30"/>
  <c r="J30"/>
  <c r="I30"/>
  <c r="H30"/>
  <c r="G30"/>
  <c r="F30"/>
  <c r="E30"/>
  <c r="D30"/>
  <c r="C30"/>
  <c r="B30"/>
  <c r="P29"/>
  <c r="M29"/>
  <c r="L29"/>
  <c r="K29"/>
  <c r="J29"/>
  <c r="I29"/>
  <c r="H29"/>
  <c r="G29"/>
  <c r="F29"/>
  <c r="E29"/>
  <c r="D29"/>
  <c r="C29"/>
  <c r="B29"/>
  <c r="P28"/>
  <c r="M28"/>
  <c r="L28"/>
  <c r="K28"/>
  <c r="J28"/>
  <c r="I28"/>
  <c r="H28"/>
  <c r="G28"/>
  <c r="F28"/>
  <c r="E28"/>
  <c r="D28"/>
  <c r="C28"/>
  <c r="B28"/>
  <c r="P27"/>
  <c r="M27"/>
  <c r="L27"/>
  <c r="K27"/>
  <c r="J27"/>
  <c r="I27"/>
  <c r="H27"/>
  <c r="G27"/>
  <c r="F27"/>
  <c r="E27"/>
  <c r="D27"/>
  <c r="C27"/>
  <c r="B27"/>
  <c r="P26"/>
  <c r="M26"/>
  <c r="L26"/>
  <c r="K26"/>
  <c r="J26"/>
  <c r="I26"/>
  <c r="H26"/>
  <c r="G26"/>
  <c r="F26"/>
  <c r="E26"/>
  <c r="D26"/>
  <c r="C26"/>
  <c r="B26"/>
  <c r="P25"/>
  <c r="M25"/>
  <c r="L25"/>
  <c r="K25"/>
  <c r="J25"/>
  <c r="I25"/>
  <c r="H25"/>
  <c r="G25"/>
  <c r="F25"/>
  <c r="E25"/>
  <c r="D25"/>
  <c r="C25"/>
  <c r="B25"/>
  <c r="P24"/>
  <c r="M24"/>
  <c r="L24"/>
  <c r="K24"/>
  <c r="J24"/>
  <c r="I24"/>
  <c r="H24"/>
  <c r="G24"/>
  <c r="F24"/>
  <c r="E24"/>
  <c r="D24"/>
  <c r="C24"/>
  <c r="B24"/>
  <c r="P23"/>
  <c r="M23"/>
  <c r="L23"/>
  <c r="K23"/>
  <c r="J23"/>
  <c r="I23"/>
  <c r="H23"/>
  <c r="G23"/>
  <c r="F23"/>
  <c r="E23"/>
  <c r="D23"/>
  <c r="C23"/>
  <c r="B23"/>
  <c r="P22"/>
  <c r="M22"/>
  <c r="L22"/>
  <c r="K22"/>
  <c r="J22"/>
  <c r="I22"/>
  <c r="H22"/>
  <c r="G22"/>
  <c r="F22"/>
  <c r="E22"/>
  <c r="D22"/>
  <c r="C22"/>
  <c r="B22"/>
  <c r="P21"/>
  <c r="M21"/>
  <c r="L21"/>
  <c r="K21"/>
  <c r="J21"/>
  <c r="I21"/>
  <c r="H21"/>
  <c r="G21"/>
  <c r="F21"/>
  <c r="E21"/>
  <c r="D21"/>
  <c r="C21"/>
  <c r="B21"/>
  <c r="P20"/>
  <c r="M20"/>
  <c r="L20"/>
  <c r="K20"/>
  <c r="J20"/>
  <c r="I20"/>
  <c r="H20"/>
  <c r="G20"/>
  <c r="F20"/>
  <c r="E20"/>
  <c r="D20"/>
  <c r="C20"/>
  <c r="B20"/>
  <c r="P19"/>
  <c r="M19"/>
  <c r="L19"/>
  <c r="K19"/>
  <c r="J19"/>
  <c r="I19"/>
  <c r="H19"/>
  <c r="G19"/>
  <c r="F19"/>
  <c r="E19"/>
  <c r="D19"/>
  <c r="C19"/>
  <c r="B19"/>
  <c r="P18"/>
  <c r="M18"/>
  <c r="L18"/>
  <c r="K18"/>
  <c r="J18"/>
  <c r="I18"/>
  <c r="H18"/>
  <c r="G18"/>
  <c r="F18"/>
  <c r="E18"/>
  <c r="D18"/>
  <c r="C18"/>
  <c r="B18"/>
  <c r="P17"/>
  <c r="M17"/>
  <c r="L17"/>
  <c r="K17"/>
  <c r="J17"/>
  <c r="I17"/>
  <c r="H17"/>
  <c r="G17"/>
  <c r="F17"/>
  <c r="E17"/>
  <c r="D17"/>
  <c r="C17"/>
  <c r="B17"/>
  <c r="P16"/>
  <c r="M16"/>
  <c r="L16"/>
  <c r="K16"/>
  <c r="J16"/>
  <c r="I16"/>
  <c r="H16"/>
  <c r="G16"/>
  <c r="F16"/>
  <c r="E16"/>
  <c r="D16"/>
  <c r="C16"/>
  <c r="B16"/>
  <c r="P15"/>
  <c r="M15"/>
  <c r="L15"/>
  <c r="K15"/>
  <c r="J15"/>
  <c r="I15"/>
  <c r="H15"/>
  <c r="G15"/>
  <c r="F15"/>
  <c r="E15"/>
  <c r="D15"/>
  <c r="C15"/>
  <c r="B15"/>
  <c r="P14"/>
  <c r="M14"/>
  <c r="L14"/>
  <c r="K14"/>
  <c r="J14"/>
  <c r="I14"/>
  <c r="H14"/>
  <c r="G14"/>
  <c r="F14"/>
  <c r="E14"/>
  <c r="D14"/>
  <c r="C14"/>
  <c r="B14"/>
  <c r="P13"/>
  <c r="M13"/>
  <c r="L13"/>
  <c r="K13"/>
  <c r="J13"/>
  <c r="I13"/>
  <c r="H13"/>
  <c r="G13"/>
  <c r="F13"/>
  <c r="E13"/>
  <c r="D13"/>
  <c r="C13"/>
  <c r="B13"/>
  <c r="P12"/>
  <c r="M12"/>
  <c r="L12"/>
  <c r="K12"/>
  <c r="J12"/>
  <c r="I12"/>
  <c r="H12"/>
  <c r="G12"/>
  <c r="F12"/>
  <c r="E12"/>
  <c r="D12"/>
  <c r="C12"/>
  <c r="B12"/>
  <c r="P11"/>
  <c r="M11"/>
  <c r="L11"/>
  <c r="K11"/>
  <c r="J11"/>
  <c r="I11"/>
  <c r="H11"/>
  <c r="G11"/>
  <c r="F11"/>
  <c r="E11"/>
  <c r="D11"/>
  <c r="C11"/>
  <c r="B11"/>
  <c r="P10"/>
  <c r="M10"/>
  <c r="L10"/>
  <c r="K10"/>
  <c r="J10"/>
  <c r="I10"/>
  <c r="H10"/>
  <c r="G10"/>
  <c r="F10"/>
  <c r="E10"/>
  <c r="D10"/>
  <c r="C10"/>
  <c r="B10"/>
  <c r="P9"/>
  <c r="M9"/>
  <c r="L9"/>
  <c r="K9"/>
  <c r="J9"/>
  <c r="I9"/>
  <c r="H9"/>
  <c r="G9"/>
  <c r="F9"/>
  <c r="E9"/>
  <c r="D9"/>
  <c r="C9"/>
  <c r="B9"/>
  <c r="P8"/>
  <c r="M8"/>
  <c r="L8"/>
  <c r="K8"/>
  <c r="J8"/>
  <c r="I8"/>
  <c r="H8"/>
  <c r="G8"/>
  <c r="F8"/>
  <c r="E8"/>
  <c r="D8"/>
  <c r="C8"/>
  <c r="B8"/>
  <c r="P7"/>
  <c r="M7"/>
  <c r="L7"/>
  <c r="K7"/>
  <c r="J7"/>
  <c r="I7"/>
  <c r="H7"/>
  <c r="G7"/>
  <c r="F7"/>
  <c r="E7"/>
  <c r="D7"/>
  <c r="C7"/>
  <c r="B7"/>
  <c r="P6"/>
  <c r="M6"/>
  <c r="L6"/>
  <c r="K6"/>
  <c r="J6"/>
  <c r="I6"/>
  <c r="H6"/>
  <c r="G6"/>
  <c r="F6"/>
  <c r="E6"/>
  <c r="D6"/>
  <c r="C6"/>
  <c r="B6"/>
  <c r="P5"/>
  <c r="M5"/>
  <c r="L5"/>
  <c r="K5"/>
  <c r="J5"/>
  <c r="I5"/>
  <c r="H5"/>
  <c r="G5"/>
  <c r="F5"/>
  <c r="E5"/>
  <c r="D5"/>
  <c r="C5"/>
  <c r="B5"/>
  <c r="P4"/>
  <c r="M4"/>
  <c r="L4"/>
  <c r="K4"/>
  <c r="J4"/>
  <c r="I4"/>
  <c r="H4"/>
  <c r="G4"/>
  <c r="F4"/>
  <c r="E4"/>
  <c r="D4"/>
  <c r="C4"/>
  <c r="B4"/>
  <c r="P3"/>
  <c r="M3"/>
  <c r="L3"/>
  <c r="K3"/>
  <c r="J3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<sst xmlns="http://schemas.openxmlformats.org/spreadsheetml/2006/main" count="78" uniqueCount="23">
  <si>
    <t>编号</t>
  </si>
  <si>
    <t>姓名</t>
  </si>
  <si>
    <t>性别</t>
  </si>
  <si>
    <t>民族</t>
  </si>
  <si>
    <t>籍贯</t>
  </si>
  <si>
    <t>出生年月</t>
  </si>
  <si>
    <t>政治面貌</t>
  </si>
  <si>
    <t>毕业学校</t>
  </si>
  <si>
    <t>专业</t>
  </si>
  <si>
    <t>学历学位</t>
  </si>
  <si>
    <t>毕业时间</t>
  </si>
  <si>
    <t>任教学段</t>
  </si>
  <si>
    <t>任教科目</t>
  </si>
  <si>
    <t>综合素质分</t>
  </si>
  <si>
    <t>面试成绩</t>
  </si>
  <si>
    <t>总分</t>
  </si>
  <si>
    <t>名次</t>
  </si>
  <si>
    <t>玉林市</t>
  </si>
  <si>
    <t>容县</t>
  </si>
  <si>
    <t>岑溪市</t>
  </si>
  <si>
    <t>北流</t>
  </si>
  <si>
    <t>排名</t>
  </si>
  <si>
    <t>2017年容县招聘“特岗”教师进入体检培训人员名单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</si>
</sst>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NumberForma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8"/>
  <sheetViews>
    <sheetView workbookViewId="0">
      <pane ySplit="2" topLeftCell="A3" activePane="bottomLeft" state="frozen"/>
      <selection pane="bottomLeft" activeCell="N6" sqref="N6"/>
    </sheetView>
  </sheetViews>
  <sheetFormatPr defaultColWidth="9" defaultRowHeight="13.5"/>
  <cols>
    <col min="1" max="1" width="4" style="2" customWidth="1"/>
    <col min="2" max="2" width="7.25" style="2" customWidth="1"/>
    <col min="3" max="3" width="3.25" style="2" customWidth="1"/>
    <col min="4" max="4" width="4.375" style="2" customWidth="1"/>
    <col min="5" max="5" width="4.875" style="2" customWidth="1"/>
    <col min="6" max="6" width="9.75" style="2" customWidth="1"/>
    <col min="7" max="7" width="5.25" style="2" customWidth="1"/>
    <col min="8" max="8" width="17.25" style="2" customWidth="1"/>
    <col min="9" max="9" width="9.875" style="2" customWidth="1"/>
    <col min="10" max="10" width="4.125" style="2" customWidth="1"/>
    <col min="11" max="11" width="9.875" style="2" customWidth="1"/>
    <col min="12" max="12" width="5.125" style="2" customWidth="1"/>
    <col min="13" max="13" width="9.125" style="2" customWidth="1"/>
    <col min="14" max="14" width="7.25" style="3" customWidth="1"/>
    <col min="15" max="15" width="6.5" style="3" customWidth="1"/>
    <col min="16" max="16" width="7.25" customWidth="1"/>
    <col min="17" max="17" width="5.875" customWidth="1"/>
  </cols>
  <sheetData>
    <row r="1" spans="1:17" ht="29.2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3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  <c r="P2" s="7" t="s">
        <v>15</v>
      </c>
      <c r="Q2" s="7" t="s">
        <v>16</v>
      </c>
    </row>
    <row r="3" spans="1:17" ht="29.25" customHeight="1">
      <c r="A3" s="5">
        <v>1</v>
      </c>
      <c r="B3" s="5" t="str">
        <f>"植金凤"</f>
        <v>植金凤</v>
      </c>
      <c r="C3" s="5" t="str">
        <f t="shared" ref="C3:C8" si="0">"女        "</f>
        <v xml:space="preserve">女        </v>
      </c>
      <c r="D3" s="5" t="str">
        <f t="shared" ref="D3:D13" si="1">"汉族"</f>
        <v>汉族</v>
      </c>
      <c r="E3" s="5" t="str">
        <f>"玉林"</f>
        <v>玉林</v>
      </c>
      <c r="F3" s="5" t="str">
        <f>"1993年10月"</f>
        <v>1993年10月</v>
      </c>
      <c r="G3" s="5" t="str">
        <f t="shared" ref="G3:G9" si="2">"共青团员"</f>
        <v>共青团员</v>
      </c>
      <c r="H3" s="5" t="str">
        <f>"四川师范大学汉语言文学"</f>
        <v>四川师范大学汉语言文学</v>
      </c>
      <c r="I3" s="5" t="str">
        <f t="shared" ref="I3:I7" si="3">"汉语言文学"</f>
        <v>汉语言文学</v>
      </c>
      <c r="J3" s="5" t="str">
        <f t="shared" ref="J3:J13" si="4">"本科学士"</f>
        <v>本科学士</v>
      </c>
      <c r="K3" s="5" t="str">
        <f>"2016.06.01"</f>
        <v>2016.06.01</v>
      </c>
      <c r="L3" s="5" t="str">
        <f t="shared" ref="L3:L13" si="5">"初中"</f>
        <v>初中</v>
      </c>
      <c r="M3" s="5" t="str">
        <f t="shared" ref="M3:M18" si="6">"202:语文"</f>
        <v>202:语文</v>
      </c>
      <c r="N3" s="8">
        <v>30</v>
      </c>
      <c r="O3" s="8">
        <v>52.33</v>
      </c>
      <c r="P3" s="9">
        <f t="shared" ref="P3:P18" si="7">N3+O3</f>
        <v>82.33</v>
      </c>
      <c r="Q3" s="15">
        <v>1</v>
      </c>
    </row>
    <row r="4" spans="1:17" ht="29.25" customHeight="1">
      <c r="A4" s="5">
        <v>2</v>
      </c>
      <c r="B4" s="5" t="str">
        <f>"黄静瑱"</f>
        <v>黄静瑱</v>
      </c>
      <c r="C4" s="5" t="str">
        <f t="shared" si="0"/>
        <v xml:space="preserve">女        </v>
      </c>
      <c r="D4" s="5" t="str">
        <f t="shared" si="1"/>
        <v>汉族</v>
      </c>
      <c r="E4" s="5" t="str">
        <f t="shared" ref="E4:E7" si="8">"容县"</f>
        <v>容县</v>
      </c>
      <c r="F4" s="5" t="str">
        <f>"1993年12月"</f>
        <v>1993年12月</v>
      </c>
      <c r="G4" s="5" t="str">
        <f>"中共党员"</f>
        <v>中共党员</v>
      </c>
      <c r="H4" s="5" t="str">
        <f>"广西师范大学漓江学院汉语国际教育"</f>
        <v>广西师范大学漓江学院汉语国际教育</v>
      </c>
      <c r="I4" s="5" t="str">
        <f>"汉语国际教育"</f>
        <v>汉语国际教育</v>
      </c>
      <c r="J4" s="5" t="str">
        <f t="shared" si="4"/>
        <v>本科学士</v>
      </c>
      <c r="K4" s="5" t="str">
        <f>"2017.07.01"</f>
        <v>2017.07.01</v>
      </c>
      <c r="L4" s="5" t="str">
        <f t="shared" si="5"/>
        <v>初中</v>
      </c>
      <c r="M4" s="5" t="str">
        <f t="shared" si="6"/>
        <v>202:语文</v>
      </c>
      <c r="N4" s="8">
        <v>33.5</v>
      </c>
      <c r="O4" s="8">
        <v>48</v>
      </c>
      <c r="P4" s="9">
        <f t="shared" si="7"/>
        <v>81.5</v>
      </c>
      <c r="Q4" s="15">
        <v>2</v>
      </c>
    </row>
    <row r="5" spans="1:17" ht="29.25" customHeight="1">
      <c r="A5" s="5">
        <v>3</v>
      </c>
      <c r="B5" s="5" t="str">
        <f>"曾海波"</f>
        <v>曾海波</v>
      </c>
      <c r="C5" s="5" t="str">
        <f>"男        "</f>
        <v xml:space="preserve">男        </v>
      </c>
      <c r="D5" s="5" t="str">
        <f t="shared" si="1"/>
        <v>汉族</v>
      </c>
      <c r="E5" s="5" t="str">
        <f t="shared" si="8"/>
        <v>容县</v>
      </c>
      <c r="F5" s="5" t="str">
        <f>"1990年09月"</f>
        <v>1990年09月</v>
      </c>
      <c r="G5" s="5" t="str">
        <f t="shared" si="2"/>
        <v>共青团员</v>
      </c>
      <c r="H5" s="5" t="str">
        <f>"吉首大学汉语言文学"</f>
        <v>吉首大学汉语言文学</v>
      </c>
      <c r="I5" s="5" t="str">
        <f t="shared" si="3"/>
        <v>汉语言文学</v>
      </c>
      <c r="J5" s="5" t="str">
        <f t="shared" si="4"/>
        <v>本科学士</v>
      </c>
      <c r="K5" s="5" t="str">
        <f>"2014.06.01"</f>
        <v>2014.06.01</v>
      </c>
      <c r="L5" s="5" t="str">
        <f t="shared" si="5"/>
        <v>初中</v>
      </c>
      <c r="M5" s="5" t="str">
        <f t="shared" si="6"/>
        <v>202:语文</v>
      </c>
      <c r="N5" s="8">
        <v>29.5</v>
      </c>
      <c r="O5" s="8">
        <v>51.67</v>
      </c>
      <c r="P5" s="9">
        <f t="shared" si="7"/>
        <v>81.17</v>
      </c>
      <c r="Q5" s="15">
        <v>3</v>
      </c>
    </row>
    <row r="6" spans="1:17" s="10" customFormat="1" ht="29.25" customHeight="1">
      <c r="A6" s="5">
        <v>4</v>
      </c>
      <c r="B6" s="5" t="str">
        <f>"李嘉欣"</f>
        <v>李嘉欣</v>
      </c>
      <c r="C6" s="5" t="str">
        <f t="shared" si="0"/>
        <v xml:space="preserve">女        </v>
      </c>
      <c r="D6" s="5" t="str">
        <f t="shared" si="1"/>
        <v>汉族</v>
      </c>
      <c r="E6" s="5" t="str">
        <f t="shared" si="8"/>
        <v>容县</v>
      </c>
      <c r="F6" s="5" t="str">
        <f>"1991年12月"</f>
        <v>1991年12月</v>
      </c>
      <c r="G6" s="5" t="str">
        <f>"中共党员"</f>
        <v>中共党员</v>
      </c>
      <c r="H6" s="5" t="str">
        <f>"广西师范学院对外汉语"</f>
        <v>广西师范学院对外汉语</v>
      </c>
      <c r="I6" s="5" t="str">
        <f>"对外汉语"</f>
        <v>对外汉语</v>
      </c>
      <c r="J6" s="5" t="str">
        <f t="shared" si="4"/>
        <v>本科学士</v>
      </c>
      <c r="K6" s="5" t="str">
        <f>"2016.06.01"</f>
        <v>2016.06.01</v>
      </c>
      <c r="L6" s="5" t="str">
        <f t="shared" si="5"/>
        <v>初中</v>
      </c>
      <c r="M6" s="5" t="str">
        <f t="shared" si="6"/>
        <v>202:语文</v>
      </c>
      <c r="N6" s="8">
        <v>31</v>
      </c>
      <c r="O6" s="8">
        <v>49</v>
      </c>
      <c r="P6" s="9">
        <f t="shared" si="7"/>
        <v>80</v>
      </c>
      <c r="Q6" s="15">
        <v>4</v>
      </c>
    </row>
    <row r="7" spans="1:17" ht="29.25" customHeight="1">
      <c r="A7" s="5">
        <v>5</v>
      </c>
      <c r="B7" s="5" t="str">
        <f>"韦焕兰"</f>
        <v>韦焕兰</v>
      </c>
      <c r="C7" s="5" t="str">
        <f t="shared" si="0"/>
        <v xml:space="preserve">女        </v>
      </c>
      <c r="D7" s="5" t="str">
        <f t="shared" si="1"/>
        <v>汉族</v>
      </c>
      <c r="E7" s="5" t="str">
        <f t="shared" si="8"/>
        <v>容县</v>
      </c>
      <c r="F7" s="5" t="str">
        <f>"1993年08月"</f>
        <v>1993年08月</v>
      </c>
      <c r="G7" s="5" t="str">
        <f t="shared" si="2"/>
        <v>共青团员</v>
      </c>
      <c r="H7" s="5" t="str">
        <f>"百色学院汉语言文学"</f>
        <v>百色学院汉语言文学</v>
      </c>
      <c r="I7" s="5" t="str">
        <f t="shared" si="3"/>
        <v>汉语言文学</v>
      </c>
      <c r="J7" s="5" t="str">
        <f t="shared" si="4"/>
        <v>本科学士</v>
      </c>
      <c r="K7" s="5" t="str">
        <f t="shared" ref="K7:K13" si="9">"2017.06.01"</f>
        <v>2017.06.01</v>
      </c>
      <c r="L7" s="5" t="str">
        <f t="shared" si="5"/>
        <v>初中</v>
      </c>
      <c r="M7" s="5" t="str">
        <f t="shared" si="6"/>
        <v>202:语文</v>
      </c>
      <c r="N7" s="8">
        <v>27.5</v>
      </c>
      <c r="O7" s="8">
        <v>51.83</v>
      </c>
      <c r="P7" s="9">
        <f t="shared" si="7"/>
        <v>79.33</v>
      </c>
      <c r="Q7" s="15">
        <v>5</v>
      </c>
    </row>
    <row r="8" spans="1:17" ht="29.25" customHeight="1">
      <c r="A8" s="5">
        <v>6</v>
      </c>
      <c r="B8" s="5" t="str">
        <f>"韦胜兰"</f>
        <v>韦胜兰</v>
      </c>
      <c r="C8" s="5" t="str">
        <f t="shared" si="0"/>
        <v xml:space="preserve">女        </v>
      </c>
      <c r="D8" s="5" t="str">
        <f t="shared" si="1"/>
        <v>汉族</v>
      </c>
      <c r="E8" s="5" t="str">
        <f>"平南县"</f>
        <v>平南县</v>
      </c>
      <c r="F8" s="5" t="str">
        <f>"1994年08月"</f>
        <v>1994年08月</v>
      </c>
      <c r="G8" s="5" t="str">
        <f t="shared" si="2"/>
        <v>共青团员</v>
      </c>
      <c r="H8" s="5" t="str">
        <f>"广西民族师范学院汉语言文学师范教育"</f>
        <v>广西民族师范学院汉语言文学师范教育</v>
      </c>
      <c r="I8" s="5" t="str">
        <f>"汉语言文学师范教育"</f>
        <v>汉语言文学师范教育</v>
      </c>
      <c r="J8" s="5" t="str">
        <f t="shared" si="4"/>
        <v>本科学士</v>
      </c>
      <c r="K8" s="5" t="str">
        <f>"2017.07.01"</f>
        <v>2017.07.01</v>
      </c>
      <c r="L8" s="5" t="str">
        <f t="shared" si="5"/>
        <v>初中</v>
      </c>
      <c r="M8" s="5" t="str">
        <f t="shared" si="6"/>
        <v>202:语文</v>
      </c>
      <c r="N8" s="8">
        <v>28</v>
      </c>
      <c r="O8" s="8">
        <v>50.83</v>
      </c>
      <c r="P8" s="9">
        <f t="shared" si="7"/>
        <v>78.83</v>
      </c>
      <c r="Q8" s="15">
        <v>6</v>
      </c>
    </row>
    <row r="9" spans="1:17" ht="29.25" customHeight="1">
      <c r="A9" s="5">
        <v>7</v>
      </c>
      <c r="B9" s="5" t="str">
        <f>"黄煜森"</f>
        <v>黄煜森</v>
      </c>
      <c r="C9" s="5" t="str">
        <f>"男        "</f>
        <v xml:space="preserve">男        </v>
      </c>
      <c r="D9" s="5" t="str">
        <f t="shared" si="1"/>
        <v>汉族</v>
      </c>
      <c r="E9" s="5" t="str">
        <f t="shared" ref="E9:E11" si="10">"容县"</f>
        <v>容县</v>
      </c>
      <c r="F9" s="5" t="str">
        <f>"1993年10月"</f>
        <v>1993年10月</v>
      </c>
      <c r="G9" s="5" t="str">
        <f t="shared" si="2"/>
        <v>共青团员</v>
      </c>
      <c r="H9" s="5" t="str">
        <f>"百色学院汉语言文学"</f>
        <v>百色学院汉语言文学</v>
      </c>
      <c r="I9" s="5" t="str">
        <f t="shared" ref="I9:I18" si="11">"汉语言文学"</f>
        <v>汉语言文学</v>
      </c>
      <c r="J9" s="5" t="str">
        <f t="shared" si="4"/>
        <v>本科学士</v>
      </c>
      <c r="K9" s="5" t="str">
        <f t="shared" si="9"/>
        <v>2017.06.01</v>
      </c>
      <c r="L9" s="5" t="str">
        <f t="shared" si="5"/>
        <v>初中</v>
      </c>
      <c r="M9" s="5" t="str">
        <f t="shared" si="6"/>
        <v>202:语文</v>
      </c>
      <c r="N9" s="8">
        <v>26</v>
      </c>
      <c r="O9" s="8">
        <v>51.33</v>
      </c>
      <c r="P9" s="9">
        <f t="shared" si="7"/>
        <v>77.33</v>
      </c>
      <c r="Q9" s="15">
        <v>7</v>
      </c>
    </row>
    <row r="10" spans="1:17" s="10" customFormat="1" ht="29.25" customHeight="1">
      <c r="A10" s="5">
        <v>8</v>
      </c>
      <c r="B10" s="5" t="str">
        <f>"莫丽媚"</f>
        <v>莫丽媚</v>
      </c>
      <c r="C10" s="5" t="str">
        <f>"女        "</f>
        <v xml:space="preserve">女        </v>
      </c>
      <c r="D10" s="5" t="str">
        <f t="shared" si="1"/>
        <v>汉族</v>
      </c>
      <c r="E10" s="5" t="str">
        <f t="shared" si="10"/>
        <v>容县</v>
      </c>
      <c r="F10" s="5" t="str">
        <f>"1994年10月"</f>
        <v>1994年10月</v>
      </c>
      <c r="G10" s="5" t="str">
        <f>"中共党员"</f>
        <v>中共党员</v>
      </c>
      <c r="H10" s="5" t="str">
        <f t="shared" ref="H10:H12" si="12">"玉林师范学院汉语言文学"</f>
        <v>玉林师范学院汉语言文学</v>
      </c>
      <c r="I10" s="5" t="str">
        <f t="shared" si="11"/>
        <v>汉语言文学</v>
      </c>
      <c r="J10" s="5" t="str">
        <f t="shared" si="4"/>
        <v>本科学士</v>
      </c>
      <c r="K10" s="5" t="str">
        <f t="shared" si="9"/>
        <v>2017.06.01</v>
      </c>
      <c r="L10" s="5" t="str">
        <f t="shared" si="5"/>
        <v>初中</v>
      </c>
      <c r="M10" s="5" t="str">
        <f t="shared" si="6"/>
        <v>202:语文</v>
      </c>
      <c r="N10" s="8">
        <v>27.5</v>
      </c>
      <c r="O10" s="8">
        <v>49.17</v>
      </c>
      <c r="P10" s="9">
        <f t="shared" si="7"/>
        <v>76.67</v>
      </c>
      <c r="Q10" s="15">
        <v>8</v>
      </c>
    </row>
    <row r="11" spans="1:17" ht="29.25" customHeight="1">
      <c r="A11" s="5">
        <v>9</v>
      </c>
      <c r="B11" s="5" t="str">
        <f>"黄金红"</f>
        <v>黄金红</v>
      </c>
      <c r="C11" s="5" t="str">
        <f>"女        "</f>
        <v xml:space="preserve">女        </v>
      </c>
      <c r="D11" s="5" t="str">
        <f t="shared" si="1"/>
        <v>汉族</v>
      </c>
      <c r="E11" s="5" t="str">
        <f t="shared" si="10"/>
        <v>容县</v>
      </c>
      <c r="F11" s="5" t="str">
        <f>"1994年06月"</f>
        <v>1994年06月</v>
      </c>
      <c r="G11" s="5" t="str">
        <f t="shared" ref="G11:G13" si="13">"共青团员"</f>
        <v>共青团员</v>
      </c>
      <c r="H11" s="5" t="str">
        <f t="shared" si="12"/>
        <v>玉林师范学院汉语言文学</v>
      </c>
      <c r="I11" s="5" t="str">
        <f t="shared" si="11"/>
        <v>汉语言文学</v>
      </c>
      <c r="J11" s="5" t="str">
        <f t="shared" si="4"/>
        <v>本科学士</v>
      </c>
      <c r="K11" s="5" t="str">
        <f t="shared" si="9"/>
        <v>2017.06.01</v>
      </c>
      <c r="L11" s="5" t="str">
        <f t="shared" si="5"/>
        <v>初中</v>
      </c>
      <c r="M11" s="5" t="str">
        <f t="shared" si="6"/>
        <v>202:语文</v>
      </c>
      <c r="N11" s="8">
        <v>26.5</v>
      </c>
      <c r="O11" s="8">
        <v>50</v>
      </c>
      <c r="P11" s="9">
        <f t="shared" si="7"/>
        <v>76.5</v>
      </c>
      <c r="Q11" s="15">
        <v>9</v>
      </c>
    </row>
    <row r="12" spans="1:17" ht="29.25" customHeight="1">
      <c r="A12" s="5">
        <v>10</v>
      </c>
      <c r="B12" s="5" t="str">
        <f>"邱舒馨"</f>
        <v>邱舒馨</v>
      </c>
      <c r="C12" s="5" t="str">
        <f>"女        "</f>
        <v xml:space="preserve">女        </v>
      </c>
      <c r="D12" s="5" t="str">
        <f t="shared" si="1"/>
        <v>汉族</v>
      </c>
      <c r="E12" s="5" t="str">
        <f>"玉林"</f>
        <v>玉林</v>
      </c>
      <c r="F12" s="5" t="str">
        <f>"1994年09月"</f>
        <v>1994年09月</v>
      </c>
      <c r="G12" s="5" t="str">
        <f t="shared" si="13"/>
        <v>共青团员</v>
      </c>
      <c r="H12" s="5" t="str">
        <f t="shared" si="12"/>
        <v>玉林师范学院汉语言文学</v>
      </c>
      <c r="I12" s="5" t="str">
        <f t="shared" si="11"/>
        <v>汉语言文学</v>
      </c>
      <c r="J12" s="5" t="str">
        <f t="shared" si="4"/>
        <v>本科学士</v>
      </c>
      <c r="K12" s="5" t="str">
        <f t="shared" si="9"/>
        <v>2017.06.01</v>
      </c>
      <c r="L12" s="5" t="str">
        <f t="shared" si="5"/>
        <v>初中</v>
      </c>
      <c r="M12" s="5" t="str">
        <f t="shared" si="6"/>
        <v>202:语文</v>
      </c>
      <c r="N12" s="8">
        <v>22</v>
      </c>
      <c r="O12" s="8">
        <v>52.67</v>
      </c>
      <c r="P12" s="9">
        <f t="shared" si="7"/>
        <v>74.67</v>
      </c>
      <c r="Q12" s="15">
        <v>10</v>
      </c>
    </row>
    <row r="13" spans="1:17" ht="29.25" customHeight="1">
      <c r="A13" s="5">
        <v>11</v>
      </c>
      <c r="B13" s="5" t="str">
        <f>"黄敏敏"</f>
        <v>黄敏敏</v>
      </c>
      <c r="C13" s="5" t="str">
        <f>"女        "</f>
        <v xml:space="preserve">女        </v>
      </c>
      <c r="D13" s="5" t="str">
        <f t="shared" si="1"/>
        <v>汉族</v>
      </c>
      <c r="E13" s="5" t="str">
        <f t="shared" ref="E13:E15" si="14">"容县"</f>
        <v>容县</v>
      </c>
      <c r="F13" s="5" t="str">
        <f>"1991年10月"</f>
        <v>1991年10月</v>
      </c>
      <c r="G13" s="5" t="str">
        <f t="shared" si="13"/>
        <v>共青团员</v>
      </c>
      <c r="H13" s="5" t="str">
        <f>"广西师范学院汉语言文学"</f>
        <v>广西师范学院汉语言文学</v>
      </c>
      <c r="I13" s="5" t="str">
        <f t="shared" si="11"/>
        <v>汉语言文学</v>
      </c>
      <c r="J13" s="5" t="str">
        <f t="shared" si="4"/>
        <v>本科学士</v>
      </c>
      <c r="K13" s="5" t="str">
        <f t="shared" si="9"/>
        <v>2017.06.01</v>
      </c>
      <c r="L13" s="5" t="str">
        <f t="shared" si="5"/>
        <v>初中</v>
      </c>
      <c r="M13" s="5" t="str">
        <f t="shared" si="6"/>
        <v>202:语文</v>
      </c>
      <c r="N13" s="8">
        <v>21.5</v>
      </c>
      <c r="O13" s="8">
        <v>52.83</v>
      </c>
      <c r="P13" s="9">
        <f t="shared" si="7"/>
        <v>74.33</v>
      </c>
      <c r="Q13" s="15">
        <v>11</v>
      </c>
    </row>
    <row r="14" spans="1:17" ht="29.25" customHeight="1">
      <c r="A14" s="5">
        <v>12</v>
      </c>
      <c r="B14" s="5" t="str">
        <f>"李诗懿"</f>
        <v>李诗懿</v>
      </c>
      <c r="C14" s="5" t="str">
        <f t="shared" ref="C14:C22" si="15">"女        "</f>
        <v xml:space="preserve">女        </v>
      </c>
      <c r="D14" s="5" t="str">
        <f t="shared" ref="D14:D72" si="16">"汉族"</f>
        <v>汉族</v>
      </c>
      <c r="E14" s="5" t="str">
        <f t="shared" si="14"/>
        <v>容县</v>
      </c>
      <c r="F14" s="5" t="str">
        <f>"1992年11月"</f>
        <v>1992年11月</v>
      </c>
      <c r="G14" s="5" t="str">
        <f t="shared" ref="G14:G19" si="17">"共青团员"</f>
        <v>共青团员</v>
      </c>
      <c r="H14" s="5" t="str">
        <f>"河池学院汉语言文学"</f>
        <v>河池学院汉语言文学</v>
      </c>
      <c r="I14" s="5" t="str">
        <f t="shared" si="11"/>
        <v>汉语言文学</v>
      </c>
      <c r="J14" s="5" t="str">
        <f t="shared" ref="J14:J54" si="18">"本科学士"</f>
        <v>本科学士</v>
      </c>
      <c r="K14" s="5" t="str">
        <f>"2016.06.01"</f>
        <v>2016.06.01</v>
      </c>
      <c r="L14" s="5" t="str">
        <f t="shared" ref="L14:L72" si="19">"初中"</f>
        <v>初中</v>
      </c>
      <c r="M14" s="5" t="str">
        <f t="shared" si="6"/>
        <v>202:语文</v>
      </c>
      <c r="N14" s="8">
        <v>25</v>
      </c>
      <c r="O14" s="8">
        <v>47.83</v>
      </c>
      <c r="P14" s="9">
        <f t="shared" si="7"/>
        <v>72.83</v>
      </c>
      <c r="Q14" s="15">
        <v>13</v>
      </c>
    </row>
    <row r="15" spans="1:17" ht="29.25" customHeight="1">
      <c r="A15" s="5">
        <v>13</v>
      </c>
      <c r="B15" s="5" t="str">
        <f>"何松宁"</f>
        <v>何松宁</v>
      </c>
      <c r="C15" s="5" t="str">
        <f t="shared" si="15"/>
        <v xml:space="preserve">女        </v>
      </c>
      <c r="D15" s="5" t="str">
        <f t="shared" si="16"/>
        <v>汉族</v>
      </c>
      <c r="E15" s="5" t="str">
        <f t="shared" si="14"/>
        <v>容县</v>
      </c>
      <c r="F15" s="5" t="str">
        <f>"1993年01月"</f>
        <v>1993年01月</v>
      </c>
      <c r="G15" s="5" t="str">
        <f t="shared" si="17"/>
        <v>共青团员</v>
      </c>
      <c r="H15" s="5" t="str">
        <f>"百色学院汉语言文学"</f>
        <v>百色学院汉语言文学</v>
      </c>
      <c r="I15" s="5" t="str">
        <f t="shared" si="11"/>
        <v>汉语言文学</v>
      </c>
      <c r="J15" s="5" t="str">
        <f t="shared" si="18"/>
        <v>本科学士</v>
      </c>
      <c r="K15" s="5" t="str">
        <f t="shared" ref="K15:K17" si="20">"2017.06.01"</f>
        <v>2017.06.01</v>
      </c>
      <c r="L15" s="5" t="str">
        <f t="shared" si="19"/>
        <v>初中</v>
      </c>
      <c r="M15" s="5" t="str">
        <f t="shared" si="6"/>
        <v>202:语文</v>
      </c>
      <c r="N15" s="8">
        <v>23</v>
      </c>
      <c r="O15" s="8">
        <v>49.5</v>
      </c>
      <c r="P15" s="9">
        <f t="shared" si="7"/>
        <v>72.5</v>
      </c>
      <c r="Q15" s="15">
        <v>14</v>
      </c>
    </row>
    <row r="16" spans="1:17" ht="29.25" customHeight="1">
      <c r="A16" s="5">
        <v>14</v>
      </c>
      <c r="B16" s="5" t="str">
        <f>"窦李钺"</f>
        <v>窦李钺</v>
      </c>
      <c r="C16" s="5" t="str">
        <f t="shared" si="15"/>
        <v xml:space="preserve">女        </v>
      </c>
      <c r="D16" s="5" t="str">
        <f t="shared" si="16"/>
        <v>汉族</v>
      </c>
      <c r="E16" s="5" t="str">
        <f>"北流"</f>
        <v>北流</v>
      </c>
      <c r="F16" s="5" t="str">
        <f>"1993年12月"</f>
        <v>1993年12月</v>
      </c>
      <c r="G16" s="5" t="str">
        <f t="shared" si="17"/>
        <v>共青团员</v>
      </c>
      <c r="H16" s="5" t="str">
        <f>"玉林师范学院汉语言文学"</f>
        <v>玉林师范学院汉语言文学</v>
      </c>
      <c r="I16" s="5" t="str">
        <f t="shared" si="11"/>
        <v>汉语言文学</v>
      </c>
      <c r="J16" s="5" t="str">
        <f t="shared" si="18"/>
        <v>本科学士</v>
      </c>
      <c r="K16" s="5" t="str">
        <f t="shared" si="20"/>
        <v>2017.06.01</v>
      </c>
      <c r="L16" s="5" t="str">
        <f t="shared" si="19"/>
        <v>初中</v>
      </c>
      <c r="M16" s="5" t="str">
        <f t="shared" si="6"/>
        <v>202:语文</v>
      </c>
      <c r="N16" s="8">
        <v>22.5</v>
      </c>
      <c r="O16" s="8">
        <v>50</v>
      </c>
      <c r="P16" s="9">
        <f t="shared" si="7"/>
        <v>72.5</v>
      </c>
      <c r="Q16" s="15">
        <v>15</v>
      </c>
    </row>
    <row r="17" spans="1:17" ht="29.25" customHeight="1">
      <c r="A17" s="5">
        <v>15</v>
      </c>
      <c r="B17" s="5" t="str">
        <f>"谢夏燕"</f>
        <v>谢夏燕</v>
      </c>
      <c r="C17" s="5" t="str">
        <f t="shared" si="15"/>
        <v xml:space="preserve">女        </v>
      </c>
      <c r="D17" s="5" t="str">
        <f t="shared" si="16"/>
        <v>汉族</v>
      </c>
      <c r="E17" s="5" t="str">
        <f t="shared" ref="E17:E23" si="21">"容县"</f>
        <v>容县</v>
      </c>
      <c r="F17" s="5" t="str">
        <f>"1994年06月"</f>
        <v>1994年06月</v>
      </c>
      <c r="G17" s="5" t="str">
        <f t="shared" si="17"/>
        <v>共青团员</v>
      </c>
      <c r="H17" s="5" t="str">
        <f>"南阳理工学院汉语言文学"</f>
        <v>南阳理工学院汉语言文学</v>
      </c>
      <c r="I17" s="5" t="str">
        <f t="shared" si="11"/>
        <v>汉语言文学</v>
      </c>
      <c r="J17" s="5" t="str">
        <f t="shared" si="18"/>
        <v>本科学士</v>
      </c>
      <c r="K17" s="5" t="str">
        <f t="shared" si="20"/>
        <v>2017.06.01</v>
      </c>
      <c r="L17" s="5" t="str">
        <f t="shared" si="19"/>
        <v>初中</v>
      </c>
      <c r="M17" s="5" t="str">
        <f t="shared" si="6"/>
        <v>202:语文</v>
      </c>
      <c r="N17" s="8">
        <v>27</v>
      </c>
      <c r="O17" s="8">
        <v>44.17</v>
      </c>
      <c r="P17" s="9">
        <f t="shared" si="7"/>
        <v>71.17</v>
      </c>
      <c r="Q17" s="15">
        <v>16</v>
      </c>
    </row>
    <row r="18" spans="1:17" ht="29.25" customHeight="1">
      <c r="A18" s="5">
        <v>16</v>
      </c>
      <c r="B18" s="5" t="str">
        <f>"欧金芳"</f>
        <v>欧金芳</v>
      </c>
      <c r="C18" s="5" t="str">
        <f t="shared" si="15"/>
        <v xml:space="preserve">女        </v>
      </c>
      <c r="D18" s="5" t="str">
        <f t="shared" si="16"/>
        <v>汉族</v>
      </c>
      <c r="E18" s="5" t="str">
        <f>"玉林市"</f>
        <v>玉林市</v>
      </c>
      <c r="F18" s="5" t="str">
        <f>"1991年12月"</f>
        <v>1991年12月</v>
      </c>
      <c r="G18" s="5" t="str">
        <f t="shared" si="17"/>
        <v>共青团员</v>
      </c>
      <c r="H18" s="5" t="str">
        <f>"梧州学院汉语言文学"</f>
        <v>梧州学院汉语言文学</v>
      </c>
      <c r="I18" s="5" t="str">
        <f t="shared" si="11"/>
        <v>汉语言文学</v>
      </c>
      <c r="J18" s="5" t="str">
        <f t="shared" si="18"/>
        <v>本科学士</v>
      </c>
      <c r="K18" s="5" t="str">
        <f>"2016.06.01"</f>
        <v>2016.06.01</v>
      </c>
      <c r="L18" s="5" t="str">
        <f t="shared" si="19"/>
        <v>初中</v>
      </c>
      <c r="M18" s="5" t="str">
        <f t="shared" si="6"/>
        <v>202:语文</v>
      </c>
      <c r="N18" s="8">
        <v>22</v>
      </c>
      <c r="O18" s="8">
        <v>49.17</v>
      </c>
      <c r="P18" s="9">
        <f t="shared" si="7"/>
        <v>71.17</v>
      </c>
      <c r="Q18" s="15">
        <v>17</v>
      </c>
    </row>
    <row r="19" spans="1:17" s="10" customFormat="1" ht="29.25" customHeight="1">
      <c r="A19" s="5">
        <v>17</v>
      </c>
      <c r="B19" s="5" t="str">
        <f>"陈清华"</f>
        <v>陈清华</v>
      </c>
      <c r="C19" s="5" t="str">
        <f t="shared" si="15"/>
        <v xml:space="preserve">女        </v>
      </c>
      <c r="D19" s="5" t="str">
        <f t="shared" si="16"/>
        <v>汉族</v>
      </c>
      <c r="E19" s="5" t="str">
        <f t="shared" si="21"/>
        <v>容县</v>
      </c>
      <c r="F19" s="5" t="str">
        <f>"1993年04月"</f>
        <v>1993年04月</v>
      </c>
      <c r="G19" s="5" t="str">
        <f t="shared" si="17"/>
        <v>共青团员</v>
      </c>
      <c r="H19" s="5" t="str">
        <f>"广西师范学院信息与计算科学"</f>
        <v>广西师范学院信息与计算科学</v>
      </c>
      <c r="I19" s="5" t="str">
        <f>"信息与计算科学"</f>
        <v>信息与计算科学</v>
      </c>
      <c r="J19" s="5" t="str">
        <f t="shared" si="18"/>
        <v>本科学士</v>
      </c>
      <c r="K19" s="5" t="str">
        <f t="shared" ref="K19:K22" si="22">"2017.07.01"</f>
        <v>2017.07.01</v>
      </c>
      <c r="L19" s="5" t="str">
        <f t="shared" si="19"/>
        <v>初中</v>
      </c>
      <c r="M19" s="5" t="str">
        <f t="shared" ref="M19:M29" si="23">"203:数学"</f>
        <v>203:数学</v>
      </c>
      <c r="N19" s="8">
        <v>30</v>
      </c>
      <c r="O19" s="8">
        <v>49.33</v>
      </c>
      <c r="P19" s="8">
        <f t="shared" ref="P19:P29" si="24">O19+N19</f>
        <v>79.33</v>
      </c>
      <c r="Q19" s="9">
        <v>1</v>
      </c>
    </row>
    <row r="20" spans="1:17" ht="29.25" customHeight="1">
      <c r="A20" s="5">
        <v>18</v>
      </c>
      <c r="B20" s="5" t="str">
        <f>"覃家陶"</f>
        <v>覃家陶</v>
      </c>
      <c r="C20" s="5" t="str">
        <f t="shared" si="15"/>
        <v xml:space="preserve">女        </v>
      </c>
      <c r="D20" s="5" t="str">
        <f t="shared" si="16"/>
        <v>汉族</v>
      </c>
      <c r="E20" s="5" t="str">
        <f>"陆川县"</f>
        <v>陆川县</v>
      </c>
      <c r="F20" s="5" t="str">
        <f>"1992年04月"</f>
        <v>1992年04月</v>
      </c>
      <c r="G20" s="5" t="str">
        <f>"群众"</f>
        <v>群众</v>
      </c>
      <c r="H20" s="5" t="str">
        <f>"百色学院数学与应用数学"</f>
        <v>百色学院数学与应用数学</v>
      </c>
      <c r="I20" s="5" t="str">
        <f t="shared" ref="I20:I23" si="25">"数学与应用数学"</f>
        <v>数学与应用数学</v>
      </c>
      <c r="J20" s="5" t="str">
        <f t="shared" si="18"/>
        <v>本科学士</v>
      </c>
      <c r="K20" s="5" t="str">
        <f t="shared" ref="K20:K24" si="26">"2016.06.01"</f>
        <v>2016.06.01</v>
      </c>
      <c r="L20" s="5" t="str">
        <f t="shared" si="19"/>
        <v>初中</v>
      </c>
      <c r="M20" s="5" t="str">
        <f t="shared" si="23"/>
        <v>203:数学</v>
      </c>
      <c r="N20" s="8">
        <v>28.5</v>
      </c>
      <c r="O20" s="8">
        <v>48.67</v>
      </c>
      <c r="P20" s="8">
        <f t="shared" si="24"/>
        <v>77.17</v>
      </c>
      <c r="Q20" s="9">
        <v>2</v>
      </c>
    </row>
    <row r="21" spans="1:17" ht="29.25" customHeight="1">
      <c r="A21" s="5">
        <v>19</v>
      </c>
      <c r="B21" s="5" t="str">
        <f>"黄培"</f>
        <v>黄培</v>
      </c>
      <c r="C21" s="5" t="str">
        <f t="shared" si="15"/>
        <v xml:space="preserve">女        </v>
      </c>
      <c r="D21" s="5" t="str">
        <f t="shared" si="16"/>
        <v>汉族</v>
      </c>
      <c r="E21" s="5" t="str">
        <f t="shared" si="21"/>
        <v>容县</v>
      </c>
      <c r="F21" s="5" t="str">
        <f>"1992年09月"</f>
        <v>1992年09月</v>
      </c>
      <c r="G21" s="5" t="str">
        <f t="shared" ref="G21:G23" si="27">"共青团员"</f>
        <v>共青团员</v>
      </c>
      <c r="H21" s="5" t="str">
        <f>"玉林师范学院数学与应用数学"</f>
        <v>玉林师范学院数学与应用数学</v>
      </c>
      <c r="I21" s="5" t="str">
        <f t="shared" si="25"/>
        <v>数学与应用数学</v>
      </c>
      <c r="J21" s="5" t="str">
        <f t="shared" si="18"/>
        <v>本科学士</v>
      </c>
      <c r="K21" s="5" t="str">
        <f t="shared" si="22"/>
        <v>2017.07.01</v>
      </c>
      <c r="L21" s="5" t="str">
        <f t="shared" si="19"/>
        <v>初中</v>
      </c>
      <c r="M21" s="5" t="str">
        <f t="shared" si="23"/>
        <v>203:数学</v>
      </c>
      <c r="N21" s="8">
        <v>23</v>
      </c>
      <c r="O21" s="8">
        <v>49</v>
      </c>
      <c r="P21" s="8">
        <f t="shared" si="24"/>
        <v>72</v>
      </c>
      <c r="Q21" s="9">
        <v>3</v>
      </c>
    </row>
    <row r="22" spans="1:17" ht="29.25" customHeight="1">
      <c r="A22" s="5">
        <v>20</v>
      </c>
      <c r="B22" s="5" t="str">
        <f>"潘艳红"</f>
        <v>潘艳红</v>
      </c>
      <c r="C22" s="5" t="str">
        <f t="shared" si="15"/>
        <v xml:space="preserve">女        </v>
      </c>
      <c r="D22" s="5" t="str">
        <f t="shared" si="16"/>
        <v>汉族</v>
      </c>
      <c r="E22" s="5" t="str">
        <f t="shared" si="21"/>
        <v>容县</v>
      </c>
      <c r="F22" s="5" t="str">
        <f>"1993年08月"</f>
        <v>1993年08月</v>
      </c>
      <c r="G22" s="5" t="str">
        <f t="shared" si="27"/>
        <v>共青团员</v>
      </c>
      <c r="H22" s="5" t="str">
        <f>"哈尔滨师范大学数学与应用数学"</f>
        <v>哈尔滨师范大学数学与应用数学</v>
      </c>
      <c r="I22" s="5" t="str">
        <f t="shared" si="25"/>
        <v>数学与应用数学</v>
      </c>
      <c r="J22" s="5" t="str">
        <f t="shared" si="18"/>
        <v>本科学士</v>
      </c>
      <c r="K22" s="5" t="str">
        <f t="shared" si="22"/>
        <v>2017.07.01</v>
      </c>
      <c r="L22" s="5" t="str">
        <f t="shared" si="19"/>
        <v>初中</v>
      </c>
      <c r="M22" s="5" t="str">
        <f t="shared" si="23"/>
        <v>203:数学</v>
      </c>
      <c r="N22" s="8">
        <v>23</v>
      </c>
      <c r="O22" s="8">
        <v>47.67</v>
      </c>
      <c r="P22" s="8">
        <f t="shared" si="24"/>
        <v>70.67</v>
      </c>
      <c r="Q22" s="9">
        <v>4</v>
      </c>
    </row>
    <row r="23" spans="1:17" s="10" customFormat="1" ht="29.25" customHeight="1">
      <c r="A23" s="5">
        <v>21</v>
      </c>
      <c r="B23" s="5" t="str">
        <f>"孙华锰"</f>
        <v>孙华锰</v>
      </c>
      <c r="C23" s="5" t="str">
        <f>"男        "</f>
        <v xml:space="preserve">男        </v>
      </c>
      <c r="D23" s="5" t="str">
        <f t="shared" si="16"/>
        <v>汉族</v>
      </c>
      <c r="E23" s="5" t="str">
        <f t="shared" si="21"/>
        <v>容县</v>
      </c>
      <c r="F23" s="5" t="str">
        <f>"1990年08月"</f>
        <v>1990年08月</v>
      </c>
      <c r="G23" s="5" t="str">
        <f t="shared" si="27"/>
        <v>共青团员</v>
      </c>
      <c r="H23" s="5" t="str">
        <f>"玉林师范学院数学与应用数学"</f>
        <v>玉林师范学院数学与应用数学</v>
      </c>
      <c r="I23" s="5" t="str">
        <f t="shared" si="25"/>
        <v>数学与应用数学</v>
      </c>
      <c r="J23" s="5" t="str">
        <f t="shared" si="18"/>
        <v>本科学士</v>
      </c>
      <c r="K23" s="5" t="str">
        <f>"2015.06.01"</f>
        <v>2015.06.01</v>
      </c>
      <c r="L23" s="5" t="str">
        <f t="shared" si="19"/>
        <v>初中</v>
      </c>
      <c r="M23" s="5" t="str">
        <f t="shared" si="23"/>
        <v>203:数学</v>
      </c>
      <c r="N23" s="8">
        <v>20</v>
      </c>
      <c r="O23" s="8">
        <v>48</v>
      </c>
      <c r="P23" s="8">
        <f t="shared" si="24"/>
        <v>68</v>
      </c>
      <c r="Q23" s="9">
        <v>5</v>
      </c>
    </row>
    <row r="24" spans="1:17" ht="29.25" customHeight="1">
      <c r="A24" s="5">
        <v>22</v>
      </c>
      <c r="B24" s="5" t="str">
        <f>"肖金妹"</f>
        <v>肖金妹</v>
      </c>
      <c r="C24" s="5" t="str">
        <f t="shared" ref="C24:C25" si="28">"女        "</f>
        <v xml:space="preserve">女        </v>
      </c>
      <c r="D24" s="5" t="str">
        <f t="shared" si="16"/>
        <v>汉族</v>
      </c>
      <c r="E24" s="5" t="str">
        <f>"北流"</f>
        <v>北流</v>
      </c>
      <c r="F24" s="5" t="str">
        <f>"1992年06月"</f>
        <v>1992年06月</v>
      </c>
      <c r="G24" s="5" t="str">
        <f t="shared" ref="G24:G30" si="29">"共青团员"</f>
        <v>共青团员</v>
      </c>
      <c r="H24" s="5" t="str">
        <f>"贺州学院数学与应用数学师范类"</f>
        <v>贺州学院数学与应用数学师范类</v>
      </c>
      <c r="I24" s="5" t="str">
        <f>"数学与应用数学师范类"</f>
        <v>数学与应用数学师范类</v>
      </c>
      <c r="J24" s="5" t="str">
        <f t="shared" si="18"/>
        <v>本科学士</v>
      </c>
      <c r="K24" s="5" t="str">
        <f t="shared" si="26"/>
        <v>2016.06.01</v>
      </c>
      <c r="L24" s="5" t="str">
        <f t="shared" si="19"/>
        <v>初中</v>
      </c>
      <c r="M24" s="5" t="str">
        <f t="shared" si="23"/>
        <v>203:数学</v>
      </c>
      <c r="N24" s="8">
        <v>24</v>
      </c>
      <c r="O24" s="8">
        <v>43.67</v>
      </c>
      <c r="P24" s="8">
        <f t="shared" si="24"/>
        <v>67.67</v>
      </c>
      <c r="Q24" s="9">
        <v>7</v>
      </c>
    </row>
    <row r="25" spans="1:17" ht="29.25" customHeight="1">
      <c r="A25" s="5">
        <v>23</v>
      </c>
      <c r="B25" s="5" t="str">
        <f>"郑倩"</f>
        <v>郑倩</v>
      </c>
      <c r="C25" s="5" t="str">
        <f t="shared" si="28"/>
        <v xml:space="preserve">女        </v>
      </c>
      <c r="D25" s="5" t="str">
        <f t="shared" si="16"/>
        <v>汉族</v>
      </c>
      <c r="E25" s="5" t="str">
        <f t="shared" ref="E25:E39" si="30">"容县"</f>
        <v>容县</v>
      </c>
      <c r="F25" s="5" t="str">
        <f>"1991年09月"</f>
        <v>1991年09月</v>
      </c>
      <c r="G25" s="5" t="str">
        <f t="shared" si="29"/>
        <v>共青团员</v>
      </c>
      <c r="H25" s="5" t="str">
        <f>"湖南第一师范学校数学与应用数学"</f>
        <v>湖南第一师范学校数学与应用数学</v>
      </c>
      <c r="I25" s="5" t="str">
        <f t="shared" ref="I25:I29" si="31">"数学与应用数学"</f>
        <v>数学与应用数学</v>
      </c>
      <c r="J25" s="5" t="str">
        <f t="shared" si="18"/>
        <v>本科学士</v>
      </c>
      <c r="K25" s="5" t="str">
        <f>"2015.06.01"</f>
        <v>2015.06.01</v>
      </c>
      <c r="L25" s="5" t="str">
        <f t="shared" si="19"/>
        <v>初中</v>
      </c>
      <c r="M25" s="5" t="str">
        <f t="shared" si="23"/>
        <v>203:数学</v>
      </c>
      <c r="N25" s="8">
        <v>17</v>
      </c>
      <c r="O25" s="8">
        <v>50</v>
      </c>
      <c r="P25" s="8">
        <f t="shared" si="24"/>
        <v>67</v>
      </c>
      <c r="Q25" s="9">
        <v>8</v>
      </c>
    </row>
    <row r="26" spans="1:17" ht="29.25" customHeight="1">
      <c r="A26" s="5">
        <v>24</v>
      </c>
      <c r="B26" s="5" t="str">
        <f>"李秀兵"</f>
        <v>李秀兵</v>
      </c>
      <c r="C26" s="5" t="str">
        <f>"男        "</f>
        <v xml:space="preserve">男        </v>
      </c>
      <c r="D26" s="5" t="str">
        <f t="shared" si="16"/>
        <v>汉族</v>
      </c>
      <c r="E26" s="5" t="str">
        <f t="shared" si="30"/>
        <v>容县</v>
      </c>
      <c r="F26" s="5" t="str">
        <f>"1991年08月"</f>
        <v>1991年08月</v>
      </c>
      <c r="G26" s="5" t="str">
        <f t="shared" si="29"/>
        <v>共青团员</v>
      </c>
      <c r="H26" s="5" t="str">
        <f>"广西师范学院师园学院数学与应用数学"</f>
        <v>广西师范学院师园学院数学与应用数学</v>
      </c>
      <c r="I26" s="5" t="str">
        <f t="shared" si="31"/>
        <v>数学与应用数学</v>
      </c>
      <c r="J26" s="5" t="str">
        <f t="shared" si="18"/>
        <v>本科学士</v>
      </c>
      <c r="K26" s="5" t="str">
        <f>"2017.07.01"</f>
        <v>2017.07.01</v>
      </c>
      <c r="L26" s="5" t="str">
        <f t="shared" si="19"/>
        <v>初中</v>
      </c>
      <c r="M26" s="5" t="str">
        <f t="shared" si="23"/>
        <v>203:数学</v>
      </c>
      <c r="N26" s="8">
        <v>25</v>
      </c>
      <c r="O26" s="8">
        <v>41.67</v>
      </c>
      <c r="P26" s="8">
        <f t="shared" si="24"/>
        <v>66.67</v>
      </c>
      <c r="Q26" s="9">
        <v>9</v>
      </c>
    </row>
    <row r="27" spans="1:17" ht="29.25" customHeight="1">
      <c r="A27" s="5">
        <v>25</v>
      </c>
      <c r="B27" s="5" t="str">
        <f>"侯灿华"</f>
        <v>侯灿华</v>
      </c>
      <c r="C27" s="5" t="str">
        <f t="shared" ref="C27:C44" si="32">"女        "</f>
        <v xml:space="preserve">女        </v>
      </c>
      <c r="D27" s="5" t="str">
        <f t="shared" si="16"/>
        <v>汉族</v>
      </c>
      <c r="E27" s="5" t="str">
        <f t="shared" si="30"/>
        <v>容县</v>
      </c>
      <c r="F27" s="5" t="str">
        <f>"1991年11月"</f>
        <v>1991年11月</v>
      </c>
      <c r="G27" s="5" t="str">
        <f t="shared" si="29"/>
        <v>共青团员</v>
      </c>
      <c r="H27" s="5" t="str">
        <f>"玉林师范学院数学与应用数学"</f>
        <v>玉林师范学院数学与应用数学</v>
      </c>
      <c r="I27" s="5" t="str">
        <f t="shared" si="31"/>
        <v>数学与应用数学</v>
      </c>
      <c r="J27" s="5" t="str">
        <f t="shared" si="18"/>
        <v>本科学士</v>
      </c>
      <c r="K27" s="5" t="str">
        <f t="shared" ref="K27:K32" si="33">"2017.06.01"</f>
        <v>2017.06.01</v>
      </c>
      <c r="L27" s="5" t="str">
        <f t="shared" si="19"/>
        <v>初中</v>
      </c>
      <c r="M27" s="5" t="str">
        <f t="shared" si="23"/>
        <v>203:数学</v>
      </c>
      <c r="N27" s="8">
        <v>22</v>
      </c>
      <c r="O27" s="8">
        <v>42</v>
      </c>
      <c r="P27" s="8">
        <f t="shared" si="24"/>
        <v>64</v>
      </c>
      <c r="Q27" s="9">
        <v>10</v>
      </c>
    </row>
    <row r="28" spans="1:17" ht="29.25" customHeight="1">
      <c r="A28" s="5">
        <v>26</v>
      </c>
      <c r="B28" s="5" t="str">
        <f>"黄金华"</f>
        <v>黄金华</v>
      </c>
      <c r="C28" s="5" t="str">
        <f t="shared" si="32"/>
        <v xml:space="preserve">女        </v>
      </c>
      <c r="D28" s="5" t="str">
        <f t="shared" si="16"/>
        <v>汉族</v>
      </c>
      <c r="E28" s="5" t="str">
        <f t="shared" si="30"/>
        <v>容县</v>
      </c>
      <c r="F28" s="5" t="str">
        <f>"1991年08月"</f>
        <v>1991年08月</v>
      </c>
      <c r="G28" s="5" t="str">
        <f t="shared" si="29"/>
        <v>共青团员</v>
      </c>
      <c r="H28" s="5" t="str">
        <f>"百色学院数学与应用数学"</f>
        <v>百色学院数学与应用数学</v>
      </c>
      <c r="I28" s="5" t="str">
        <f t="shared" si="31"/>
        <v>数学与应用数学</v>
      </c>
      <c r="J28" s="5" t="str">
        <f t="shared" si="18"/>
        <v>本科学士</v>
      </c>
      <c r="K28" s="5" t="str">
        <f>"2016.06.01"</f>
        <v>2016.06.01</v>
      </c>
      <c r="L28" s="5" t="str">
        <f t="shared" si="19"/>
        <v>初中</v>
      </c>
      <c r="M28" s="5" t="str">
        <f t="shared" si="23"/>
        <v>203:数学</v>
      </c>
      <c r="N28" s="8">
        <v>18</v>
      </c>
      <c r="O28" s="8">
        <v>42</v>
      </c>
      <c r="P28" s="8">
        <f t="shared" si="24"/>
        <v>60</v>
      </c>
      <c r="Q28" s="9">
        <v>11</v>
      </c>
    </row>
    <row r="29" spans="1:17" ht="29.25" customHeight="1">
      <c r="A29" s="5">
        <v>27</v>
      </c>
      <c r="B29" s="5" t="str">
        <f>"卢烽"</f>
        <v>卢烽</v>
      </c>
      <c r="C29" s="5" t="str">
        <f>"男        "</f>
        <v xml:space="preserve">男        </v>
      </c>
      <c r="D29" s="5" t="str">
        <f t="shared" si="16"/>
        <v>汉族</v>
      </c>
      <c r="E29" s="5" t="str">
        <f t="shared" si="30"/>
        <v>容县</v>
      </c>
      <c r="F29" s="5" t="str">
        <f>"1993年11月"</f>
        <v>1993年11月</v>
      </c>
      <c r="G29" s="5" t="str">
        <f t="shared" si="29"/>
        <v>共青团员</v>
      </c>
      <c r="H29" s="5" t="str">
        <f>"百色学院数学与应用数学"</f>
        <v>百色学院数学与应用数学</v>
      </c>
      <c r="I29" s="5" t="str">
        <f t="shared" si="31"/>
        <v>数学与应用数学</v>
      </c>
      <c r="J29" s="5" t="str">
        <f t="shared" si="18"/>
        <v>本科学士</v>
      </c>
      <c r="K29" s="5" t="str">
        <f>"2017.07.01"</f>
        <v>2017.07.01</v>
      </c>
      <c r="L29" s="5" t="str">
        <f t="shared" si="19"/>
        <v>初中</v>
      </c>
      <c r="M29" s="5" t="str">
        <f t="shared" si="23"/>
        <v>203:数学</v>
      </c>
      <c r="N29" s="8">
        <v>15</v>
      </c>
      <c r="O29" s="8">
        <v>42.33</v>
      </c>
      <c r="P29" s="8">
        <f t="shared" si="24"/>
        <v>57.33</v>
      </c>
      <c r="Q29" s="9">
        <v>12</v>
      </c>
    </row>
    <row r="30" spans="1:17" ht="29.25" customHeight="1">
      <c r="A30" s="5">
        <v>28</v>
      </c>
      <c r="B30" s="5" t="str">
        <f>"李丽云"</f>
        <v>李丽云</v>
      </c>
      <c r="C30" s="5" t="str">
        <f t="shared" si="32"/>
        <v xml:space="preserve">女        </v>
      </c>
      <c r="D30" s="5" t="str">
        <f t="shared" si="16"/>
        <v>汉族</v>
      </c>
      <c r="E30" s="5" t="str">
        <f t="shared" si="30"/>
        <v>容县</v>
      </c>
      <c r="F30" s="5" t="str">
        <f>"1992年05月"</f>
        <v>1992年05月</v>
      </c>
      <c r="G30" s="5" t="str">
        <f t="shared" si="29"/>
        <v>共青团员</v>
      </c>
      <c r="H30" s="5" t="str">
        <f>"河池学院英语"</f>
        <v>河池学院英语</v>
      </c>
      <c r="I30" s="5" t="str">
        <f t="shared" ref="I30:I37" si="34">"英语"</f>
        <v>英语</v>
      </c>
      <c r="J30" s="5" t="str">
        <f t="shared" si="18"/>
        <v>本科学士</v>
      </c>
      <c r="K30" s="5" t="str">
        <f t="shared" si="33"/>
        <v>2017.06.01</v>
      </c>
      <c r="L30" s="5" t="str">
        <f t="shared" si="19"/>
        <v>初中</v>
      </c>
      <c r="M30" s="5" t="str">
        <f t="shared" ref="M30:M44" si="35">"204:英语"</f>
        <v>204:英语</v>
      </c>
      <c r="N30" s="8">
        <v>29</v>
      </c>
      <c r="O30" s="9">
        <v>49.17</v>
      </c>
      <c r="P30" s="9">
        <f t="shared" ref="P30:P44" si="36">N30+O30</f>
        <v>78.17</v>
      </c>
      <c r="Q30" s="8">
        <v>1</v>
      </c>
    </row>
    <row r="31" spans="1:17" ht="29.25" customHeight="1">
      <c r="A31" s="5">
        <v>29</v>
      </c>
      <c r="B31" s="5" t="str">
        <f>"李晓凤"</f>
        <v>李晓凤</v>
      </c>
      <c r="C31" s="5" t="str">
        <f t="shared" si="32"/>
        <v xml:space="preserve">女        </v>
      </c>
      <c r="D31" s="5" t="str">
        <f t="shared" si="16"/>
        <v>汉族</v>
      </c>
      <c r="E31" s="5" t="str">
        <f t="shared" si="30"/>
        <v>容县</v>
      </c>
      <c r="F31" s="5" t="str">
        <f>"1989年03月"</f>
        <v>1989年03月</v>
      </c>
      <c r="G31" s="5" t="str">
        <f>"中共党员"</f>
        <v>中共党员</v>
      </c>
      <c r="H31" s="5" t="str">
        <f>"玉林师范学院英语应用英语方向"</f>
        <v>玉林师范学院英语应用英语方向</v>
      </c>
      <c r="I31" s="5" t="str">
        <f>"英语应用英语方向"</f>
        <v>英语应用英语方向</v>
      </c>
      <c r="J31" s="5" t="str">
        <f t="shared" si="18"/>
        <v>本科学士</v>
      </c>
      <c r="K31" s="5" t="str">
        <f>"2014.06.01"</f>
        <v>2014.06.01</v>
      </c>
      <c r="L31" s="5" t="str">
        <f t="shared" si="19"/>
        <v>初中</v>
      </c>
      <c r="M31" s="5" t="str">
        <f t="shared" si="35"/>
        <v>204:英语</v>
      </c>
      <c r="N31" s="8">
        <v>32</v>
      </c>
      <c r="O31" s="9">
        <v>44.1</v>
      </c>
      <c r="P31" s="9">
        <f t="shared" si="36"/>
        <v>76.099999999999994</v>
      </c>
      <c r="Q31" s="8">
        <v>2</v>
      </c>
    </row>
    <row r="32" spans="1:17" ht="29.25" customHeight="1">
      <c r="A32" s="5">
        <v>30</v>
      </c>
      <c r="B32" s="5" t="str">
        <f>"杨娜"</f>
        <v>杨娜</v>
      </c>
      <c r="C32" s="5" t="str">
        <f t="shared" si="32"/>
        <v xml:space="preserve">女        </v>
      </c>
      <c r="D32" s="5" t="str">
        <f t="shared" si="16"/>
        <v>汉族</v>
      </c>
      <c r="E32" s="5" t="str">
        <f t="shared" si="30"/>
        <v>容县</v>
      </c>
      <c r="F32" s="5" t="str">
        <f>"1994年03月"</f>
        <v>1994年03月</v>
      </c>
      <c r="G32" s="5" t="str">
        <f t="shared" ref="G32:G37" si="37">"共青团员"</f>
        <v>共青团员</v>
      </c>
      <c r="H32" s="5" t="str">
        <f>"广西科技大学英语"</f>
        <v>广西科技大学英语</v>
      </c>
      <c r="I32" s="5" t="str">
        <f t="shared" si="34"/>
        <v>英语</v>
      </c>
      <c r="J32" s="5" t="str">
        <f t="shared" si="18"/>
        <v>本科学士</v>
      </c>
      <c r="K32" s="5" t="str">
        <f t="shared" si="33"/>
        <v>2017.06.01</v>
      </c>
      <c r="L32" s="5" t="str">
        <f t="shared" si="19"/>
        <v>初中</v>
      </c>
      <c r="M32" s="5" t="str">
        <f t="shared" si="35"/>
        <v>204:英语</v>
      </c>
      <c r="N32" s="8">
        <v>24</v>
      </c>
      <c r="O32" s="9">
        <v>52.03</v>
      </c>
      <c r="P32" s="9">
        <f t="shared" si="36"/>
        <v>76.03</v>
      </c>
      <c r="Q32" s="8">
        <v>3</v>
      </c>
    </row>
    <row r="33" spans="1:17" ht="29.25" customHeight="1">
      <c r="A33" s="5">
        <v>31</v>
      </c>
      <c r="B33" s="5" t="str">
        <f>"杨镇妮"</f>
        <v>杨镇妮</v>
      </c>
      <c r="C33" s="5" t="str">
        <f t="shared" si="32"/>
        <v xml:space="preserve">女        </v>
      </c>
      <c r="D33" s="5" t="str">
        <f t="shared" si="16"/>
        <v>汉族</v>
      </c>
      <c r="E33" s="5" t="str">
        <f t="shared" si="30"/>
        <v>容县</v>
      </c>
      <c r="F33" s="5" t="str">
        <f>"1991年11月"</f>
        <v>1991年11月</v>
      </c>
      <c r="G33" s="5" t="str">
        <f>"中共党员"</f>
        <v>中共党员</v>
      </c>
      <c r="H33" s="5" t="str">
        <f>"玉林师范学院应用英语"</f>
        <v>玉林师范学院应用英语</v>
      </c>
      <c r="I33" s="5" t="str">
        <f>"应用英语"</f>
        <v>应用英语</v>
      </c>
      <c r="J33" s="5" t="str">
        <f t="shared" si="18"/>
        <v>本科学士</v>
      </c>
      <c r="K33" s="5" t="str">
        <f t="shared" ref="K33:K37" si="38">"2016.06.01"</f>
        <v>2016.06.01</v>
      </c>
      <c r="L33" s="5" t="str">
        <f t="shared" si="19"/>
        <v>初中</v>
      </c>
      <c r="M33" s="5" t="str">
        <f t="shared" si="35"/>
        <v>204:英语</v>
      </c>
      <c r="N33" s="8">
        <v>29</v>
      </c>
      <c r="O33" s="9">
        <v>46.5</v>
      </c>
      <c r="P33" s="9">
        <f t="shared" si="36"/>
        <v>75.5</v>
      </c>
      <c r="Q33" s="8">
        <v>4</v>
      </c>
    </row>
    <row r="34" spans="1:17" s="10" customFormat="1" ht="29.25" customHeight="1">
      <c r="A34" s="5">
        <v>32</v>
      </c>
      <c r="B34" s="5" t="str">
        <f>"何淼新"</f>
        <v>何淼新</v>
      </c>
      <c r="C34" s="5" t="str">
        <f t="shared" si="32"/>
        <v xml:space="preserve">女        </v>
      </c>
      <c r="D34" s="5" t="str">
        <f t="shared" si="16"/>
        <v>汉族</v>
      </c>
      <c r="E34" s="5" t="str">
        <f t="shared" si="30"/>
        <v>容县</v>
      </c>
      <c r="F34" s="5" t="str">
        <f>"1992年04月"</f>
        <v>1992年04月</v>
      </c>
      <c r="G34" s="5" t="str">
        <f t="shared" si="37"/>
        <v>共青团员</v>
      </c>
      <c r="H34" s="5" t="str">
        <f>"广西财经学院商务英语"</f>
        <v>广西财经学院商务英语</v>
      </c>
      <c r="I34" s="5" t="str">
        <f>"商务英语"</f>
        <v>商务英语</v>
      </c>
      <c r="J34" s="5" t="str">
        <f t="shared" si="18"/>
        <v>本科学士</v>
      </c>
      <c r="K34" s="5" t="str">
        <f>"2016.07.01"</f>
        <v>2016.07.01</v>
      </c>
      <c r="L34" s="5" t="str">
        <f t="shared" si="19"/>
        <v>初中</v>
      </c>
      <c r="M34" s="5" t="str">
        <f t="shared" si="35"/>
        <v>204:英语</v>
      </c>
      <c r="N34" s="8">
        <v>26</v>
      </c>
      <c r="O34" s="9">
        <v>48.67</v>
      </c>
      <c r="P34" s="9">
        <f t="shared" si="36"/>
        <v>74.67</v>
      </c>
      <c r="Q34" s="8">
        <v>5</v>
      </c>
    </row>
    <row r="35" spans="1:17" ht="29.25" customHeight="1">
      <c r="A35" s="5">
        <v>33</v>
      </c>
      <c r="B35" s="5" t="str">
        <f>"陆思羽"</f>
        <v>陆思羽</v>
      </c>
      <c r="C35" s="5" t="str">
        <f t="shared" si="32"/>
        <v xml:space="preserve">女        </v>
      </c>
      <c r="D35" s="5" t="str">
        <f t="shared" si="16"/>
        <v>汉族</v>
      </c>
      <c r="E35" s="5" t="str">
        <f t="shared" si="30"/>
        <v>容县</v>
      </c>
      <c r="F35" s="5" t="str">
        <f>"1992年02月"</f>
        <v>1992年02月</v>
      </c>
      <c r="G35" s="5" t="str">
        <f t="shared" si="37"/>
        <v>共青团员</v>
      </c>
      <c r="H35" s="5" t="str">
        <f>"玉林师范学院英语"</f>
        <v>玉林师范学院英语</v>
      </c>
      <c r="I35" s="5" t="str">
        <f t="shared" si="34"/>
        <v>英语</v>
      </c>
      <c r="J35" s="5" t="str">
        <f t="shared" si="18"/>
        <v>本科学士</v>
      </c>
      <c r="K35" s="5" t="str">
        <f t="shared" si="38"/>
        <v>2016.06.01</v>
      </c>
      <c r="L35" s="5" t="str">
        <f t="shared" si="19"/>
        <v>初中</v>
      </c>
      <c r="M35" s="5" t="str">
        <f t="shared" si="35"/>
        <v>204:英语</v>
      </c>
      <c r="N35" s="8">
        <v>23</v>
      </c>
      <c r="O35" s="9">
        <v>51.33</v>
      </c>
      <c r="P35" s="9">
        <f t="shared" si="36"/>
        <v>74.33</v>
      </c>
      <c r="Q35" s="8">
        <v>6</v>
      </c>
    </row>
    <row r="36" spans="1:17" ht="29.25" customHeight="1">
      <c r="A36" s="5">
        <v>34</v>
      </c>
      <c r="B36" s="5" t="str">
        <f>"邓超婵"</f>
        <v>邓超婵</v>
      </c>
      <c r="C36" s="5" t="str">
        <f t="shared" si="32"/>
        <v xml:space="preserve">女        </v>
      </c>
      <c r="D36" s="5" t="str">
        <f t="shared" si="16"/>
        <v>汉族</v>
      </c>
      <c r="E36" s="5" t="str">
        <f t="shared" si="30"/>
        <v>容县</v>
      </c>
      <c r="F36" s="5" t="str">
        <f>"1993年03月"</f>
        <v>1993年03月</v>
      </c>
      <c r="G36" s="5" t="str">
        <f t="shared" si="37"/>
        <v>共青团员</v>
      </c>
      <c r="H36" s="5" t="str">
        <f>"广西民族师范学院英语"</f>
        <v>广西民族师范学院英语</v>
      </c>
      <c r="I36" s="5" t="str">
        <f t="shared" si="34"/>
        <v>英语</v>
      </c>
      <c r="J36" s="5" t="str">
        <f t="shared" si="18"/>
        <v>本科学士</v>
      </c>
      <c r="K36" s="5" t="str">
        <f>"2017.06.01"</f>
        <v>2017.06.01</v>
      </c>
      <c r="L36" s="5" t="str">
        <f t="shared" si="19"/>
        <v>初中</v>
      </c>
      <c r="M36" s="5" t="str">
        <f t="shared" si="35"/>
        <v>204:英语</v>
      </c>
      <c r="N36" s="8">
        <v>26</v>
      </c>
      <c r="O36" s="9">
        <v>48.17</v>
      </c>
      <c r="P36" s="9">
        <f t="shared" si="36"/>
        <v>74.17</v>
      </c>
      <c r="Q36" s="8">
        <v>7</v>
      </c>
    </row>
    <row r="37" spans="1:17" s="10" customFormat="1" ht="29.25" customHeight="1">
      <c r="A37" s="5">
        <v>35</v>
      </c>
      <c r="B37" s="5" t="str">
        <f>"黄金坤"</f>
        <v>黄金坤</v>
      </c>
      <c r="C37" s="5" t="str">
        <f t="shared" si="32"/>
        <v xml:space="preserve">女        </v>
      </c>
      <c r="D37" s="5" t="str">
        <f t="shared" si="16"/>
        <v>汉族</v>
      </c>
      <c r="E37" s="5" t="str">
        <f t="shared" si="30"/>
        <v>容县</v>
      </c>
      <c r="F37" s="5" t="str">
        <f>"1993年05月"</f>
        <v>1993年05月</v>
      </c>
      <c r="G37" s="5" t="str">
        <f t="shared" si="37"/>
        <v>共青团员</v>
      </c>
      <c r="H37" s="5" t="str">
        <f>"广西外国语学院英语"</f>
        <v>广西外国语学院英语</v>
      </c>
      <c r="I37" s="5" t="str">
        <f t="shared" si="34"/>
        <v>英语</v>
      </c>
      <c r="J37" s="5" t="str">
        <f t="shared" si="18"/>
        <v>本科学士</v>
      </c>
      <c r="K37" s="5" t="str">
        <f t="shared" si="38"/>
        <v>2016.06.01</v>
      </c>
      <c r="L37" s="5" t="str">
        <f t="shared" si="19"/>
        <v>初中</v>
      </c>
      <c r="M37" s="5" t="str">
        <f t="shared" si="35"/>
        <v>204:英语</v>
      </c>
      <c r="N37" s="8">
        <v>27</v>
      </c>
      <c r="O37" s="9">
        <v>46.5</v>
      </c>
      <c r="P37" s="9">
        <f t="shared" si="36"/>
        <v>73.5</v>
      </c>
      <c r="Q37" s="8">
        <v>8</v>
      </c>
    </row>
    <row r="38" spans="1:17" ht="29.25" customHeight="1">
      <c r="A38" s="5">
        <v>36</v>
      </c>
      <c r="B38" s="5" t="str">
        <f>"邓惠妮"</f>
        <v>邓惠妮</v>
      </c>
      <c r="C38" s="5" t="str">
        <f t="shared" si="32"/>
        <v xml:space="preserve">女        </v>
      </c>
      <c r="D38" s="5" t="str">
        <f t="shared" si="16"/>
        <v>汉族</v>
      </c>
      <c r="E38" s="5" t="str">
        <f t="shared" si="30"/>
        <v>容县</v>
      </c>
      <c r="F38" s="5" t="str">
        <f>"1992年09月"</f>
        <v>1992年09月</v>
      </c>
      <c r="G38" s="5" t="str">
        <f>"中共党员"</f>
        <v>中共党员</v>
      </c>
      <c r="H38" s="5" t="str">
        <f>"广西民族师范学院商务英语"</f>
        <v>广西民族师范学院商务英语</v>
      </c>
      <c r="I38" s="5" t="str">
        <f>"商务英语"</f>
        <v>商务英语</v>
      </c>
      <c r="J38" s="5" t="str">
        <f t="shared" si="18"/>
        <v>本科学士</v>
      </c>
      <c r="K38" s="5" t="str">
        <f>"2017.06.01"</f>
        <v>2017.06.01</v>
      </c>
      <c r="L38" s="5" t="str">
        <f t="shared" si="19"/>
        <v>初中</v>
      </c>
      <c r="M38" s="5" t="str">
        <f t="shared" si="35"/>
        <v>204:英语</v>
      </c>
      <c r="N38" s="8">
        <v>26</v>
      </c>
      <c r="O38" s="9">
        <v>47.5</v>
      </c>
      <c r="P38" s="9">
        <f t="shared" si="36"/>
        <v>73.5</v>
      </c>
      <c r="Q38" s="8">
        <v>9</v>
      </c>
    </row>
    <row r="39" spans="1:17" ht="29.25" customHeight="1">
      <c r="A39" s="5">
        <v>37</v>
      </c>
      <c r="B39" s="5" t="str">
        <f>"陈晓萍"</f>
        <v>陈晓萍</v>
      </c>
      <c r="C39" s="5" t="str">
        <f t="shared" si="32"/>
        <v xml:space="preserve">女        </v>
      </c>
      <c r="D39" s="5" t="str">
        <f t="shared" si="16"/>
        <v>汉族</v>
      </c>
      <c r="E39" s="5" t="str">
        <f t="shared" si="30"/>
        <v>容县</v>
      </c>
      <c r="F39" s="5" t="str">
        <f>"1994年01月"</f>
        <v>1994年01月</v>
      </c>
      <c r="G39" s="5" t="str">
        <f t="shared" ref="G39:G41" si="39">"共青团员"</f>
        <v>共青团员</v>
      </c>
      <c r="H39" s="5" t="str">
        <f>"广西师范学院师园学院英语教育"</f>
        <v>广西师范学院师园学院英语教育</v>
      </c>
      <c r="I39" s="5" t="str">
        <f t="shared" ref="I39:I42" si="40">"英语教育"</f>
        <v>英语教育</v>
      </c>
      <c r="J39" s="5" t="str">
        <f t="shared" si="18"/>
        <v>本科学士</v>
      </c>
      <c r="K39" s="5" t="str">
        <f>"2017.07.01"</f>
        <v>2017.07.01</v>
      </c>
      <c r="L39" s="5" t="str">
        <f t="shared" si="19"/>
        <v>初中</v>
      </c>
      <c r="M39" s="5" t="str">
        <f t="shared" si="35"/>
        <v>204:英语</v>
      </c>
      <c r="N39" s="8">
        <v>22</v>
      </c>
      <c r="O39" s="9">
        <v>51.23</v>
      </c>
      <c r="P39" s="9">
        <f t="shared" si="36"/>
        <v>73.22999999999999</v>
      </c>
      <c r="Q39" s="8">
        <v>10</v>
      </c>
    </row>
    <row r="40" spans="1:17" ht="29.25" customHeight="1">
      <c r="A40" s="5">
        <v>38</v>
      </c>
      <c r="B40" s="5" t="str">
        <f>"李曼芳"</f>
        <v>李曼芳</v>
      </c>
      <c r="C40" s="5" t="str">
        <f t="shared" si="32"/>
        <v xml:space="preserve">女        </v>
      </c>
      <c r="D40" s="5" t="str">
        <f t="shared" si="16"/>
        <v>汉族</v>
      </c>
      <c r="E40" s="5" t="str">
        <f>"玉林"</f>
        <v>玉林</v>
      </c>
      <c r="F40" s="5" t="str">
        <f>"1995年09月"</f>
        <v>1995年09月</v>
      </c>
      <c r="G40" s="5" t="str">
        <f t="shared" si="39"/>
        <v>共青团员</v>
      </c>
      <c r="H40" s="5" t="str">
        <f>"广西师范大学漓江学院英语教育"</f>
        <v>广西师范大学漓江学院英语教育</v>
      </c>
      <c r="I40" s="5" t="str">
        <f t="shared" si="40"/>
        <v>英语教育</v>
      </c>
      <c r="J40" s="5" t="str">
        <f t="shared" si="18"/>
        <v>本科学士</v>
      </c>
      <c r="K40" s="5" t="str">
        <f>"2017.05.01"</f>
        <v>2017.05.01</v>
      </c>
      <c r="L40" s="5" t="str">
        <f t="shared" si="19"/>
        <v>初中</v>
      </c>
      <c r="M40" s="5" t="str">
        <f t="shared" si="35"/>
        <v>204:英语</v>
      </c>
      <c r="N40" s="8">
        <v>23</v>
      </c>
      <c r="O40" s="9">
        <v>50</v>
      </c>
      <c r="P40" s="9">
        <f t="shared" si="36"/>
        <v>73</v>
      </c>
      <c r="Q40" s="8">
        <v>11</v>
      </c>
    </row>
    <row r="41" spans="1:17" ht="29.25" customHeight="1">
      <c r="A41" s="5">
        <v>39</v>
      </c>
      <c r="B41" s="5" t="str">
        <f>"潘燕梅"</f>
        <v>潘燕梅</v>
      </c>
      <c r="C41" s="5" t="str">
        <f t="shared" si="32"/>
        <v xml:space="preserve">女        </v>
      </c>
      <c r="D41" s="5" t="str">
        <f t="shared" si="16"/>
        <v>汉族</v>
      </c>
      <c r="E41" s="5" t="str">
        <f t="shared" ref="E41:E44" si="41">"容县"</f>
        <v>容县</v>
      </c>
      <c r="F41" s="5" t="str">
        <f>"1994年10月"</f>
        <v>1994年10月</v>
      </c>
      <c r="G41" s="5" t="str">
        <f t="shared" si="39"/>
        <v>共青团员</v>
      </c>
      <c r="H41" s="5" t="str">
        <f>"广西民族师范学院商务英语"</f>
        <v>广西民族师范学院商务英语</v>
      </c>
      <c r="I41" s="5" t="str">
        <f>"商务英语"</f>
        <v>商务英语</v>
      </c>
      <c r="J41" s="5" t="str">
        <f t="shared" si="18"/>
        <v>本科学士</v>
      </c>
      <c r="K41" s="5" t="str">
        <f>"2016.07.01"</f>
        <v>2016.07.01</v>
      </c>
      <c r="L41" s="5" t="str">
        <f t="shared" si="19"/>
        <v>初中</v>
      </c>
      <c r="M41" s="5" t="str">
        <f t="shared" si="35"/>
        <v>204:英语</v>
      </c>
      <c r="N41" s="8">
        <v>23</v>
      </c>
      <c r="O41" s="9">
        <v>49.7</v>
      </c>
      <c r="P41" s="9">
        <f t="shared" si="36"/>
        <v>72.7</v>
      </c>
      <c r="Q41" s="8">
        <v>12</v>
      </c>
    </row>
    <row r="42" spans="1:17" s="10" customFormat="1" ht="29.25" customHeight="1">
      <c r="A42" s="5">
        <v>40</v>
      </c>
      <c r="B42" s="5" t="str">
        <f>"梁秋凤"</f>
        <v>梁秋凤</v>
      </c>
      <c r="C42" s="5" t="str">
        <f t="shared" si="32"/>
        <v xml:space="preserve">女        </v>
      </c>
      <c r="D42" s="5" t="str">
        <f t="shared" si="16"/>
        <v>汉族</v>
      </c>
      <c r="E42" s="5" t="str">
        <f t="shared" si="41"/>
        <v>容县</v>
      </c>
      <c r="F42" s="5" t="str">
        <f>"1992年09月"</f>
        <v>1992年09月</v>
      </c>
      <c r="G42" s="5" t="str">
        <f>"中共党员"</f>
        <v>中共党员</v>
      </c>
      <c r="H42" s="5" t="str">
        <f>"广西民族师范学院英语教育"</f>
        <v>广西民族师范学院英语教育</v>
      </c>
      <c r="I42" s="5" t="str">
        <f t="shared" si="40"/>
        <v>英语教育</v>
      </c>
      <c r="J42" s="5" t="str">
        <f t="shared" si="18"/>
        <v>本科学士</v>
      </c>
      <c r="K42" s="5" t="str">
        <f>"2017.07.01"</f>
        <v>2017.07.01</v>
      </c>
      <c r="L42" s="5" t="str">
        <f t="shared" si="19"/>
        <v>初中</v>
      </c>
      <c r="M42" s="5" t="str">
        <f t="shared" si="35"/>
        <v>204:英语</v>
      </c>
      <c r="N42" s="8">
        <v>25</v>
      </c>
      <c r="O42" s="9">
        <v>47.33</v>
      </c>
      <c r="P42" s="9">
        <f t="shared" si="36"/>
        <v>72.33</v>
      </c>
      <c r="Q42" s="8">
        <v>13</v>
      </c>
    </row>
    <row r="43" spans="1:17" ht="29.25" customHeight="1">
      <c r="A43" s="5">
        <v>41</v>
      </c>
      <c r="B43" s="5" t="str">
        <f>"韦托玉"</f>
        <v>韦托玉</v>
      </c>
      <c r="C43" s="5" t="str">
        <f t="shared" si="32"/>
        <v xml:space="preserve">女        </v>
      </c>
      <c r="D43" s="5" t="str">
        <f t="shared" si="16"/>
        <v>汉族</v>
      </c>
      <c r="E43" s="5" t="str">
        <f>"田阳县"</f>
        <v>田阳县</v>
      </c>
      <c r="F43" s="5" t="str">
        <f>"1992年12月"</f>
        <v>1992年12月</v>
      </c>
      <c r="G43" s="5" t="str">
        <f t="shared" ref="G43:G55" si="42">"共青团员"</f>
        <v>共青团员</v>
      </c>
      <c r="H43" s="5" t="str">
        <f>"梧州学院英语"</f>
        <v>梧州学院英语</v>
      </c>
      <c r="I43" s="5" t="str">
        <f>"英语"</f>
        <v>英语</v>
      </c>
      <c r="J43" s="5" t="str">
        <f t="shared" si="18"/>
        <v>本科学士</v>
      </c>
      <c r="K43" s="5" t="str">
        <f>"2016.07.01"</f>
        <v>2016.07.01</v>
      </c>
      <c r="L43" s="5" t="str">
        <f t="shared" si="19"/>
        <v>初中</v>
      </c>
      <c r="M43" s="5" t="str">
        <f t="shared" si="35"/>
        <v>204:英语</v>
      </c>
      <c r="N43" s="8">
        <v>27</v>
      </c>
      <c r="O43" s="9">
        <v>45.15</v>
      </c>
      <c r="P43" s="9">
        <f t="shared" si="36"/>
        <v>72.150000000000006</v>
      </c>
      <c r="Q43" s="8">
        <v>14</v>
      </c>
    </row>
    <row r="44" spans="1:17" ht="29.25" customHeight="1">
      <c r="A44" s="5">
        <v>42</v>
      </c>
      <c r="B44" s="5" t="str">
        <f>"陈超群"</f>
        <v>陈超群</v>
      </c>
      <c r="C44" s="5" t="str">
        <f t="shared" si="32"/>
        <v xml:space="preserve">女        </v>
      </c>
      <c r="D44" s="5" t="str">
        <f t="shared" si="16"/>
        <v>汉族</v>
      </c>
      <c r="E44" s="5" t="str">
        <f t="shared" si="41"/>
        <v>容县</v>
      </c>
      <c r="F44" s="5" t="str">
        <f>"1992年09月"</f>
        <v>1992年09月</v>
      </c>
      <c r="G44" s="5" t="str">
        <f t="shared" si="42"/>
        <v>共青团员</v>
      </c>
      <c r="H44" s="5" t="str">
        <f>"大理大学英语"</f>
        <v>大理大学英语</v>
      </c>
      <c r="I44" s="5" t="str">
        <f>"英语"</f>
        <v>英语</v>
      </c>
      <c r="J44" s="5" t="str">
        <f t="shared" si="18"/>
        <v>本科学士</v>
      </c>
      <c r="K44" s="5" t="str">
        <f t="shared" ref="K44:K49" si="43">"2017.06.01"</f>
        <v>2017.06.01</v>
      </c>
      <c r="L44" s="5" t="str">
        <f t="shared" si="19"/>
        <v>初中</v>
      </c>
      <c r="M44" s="5" t="str">
        <f t="shared" si="35"/>
        <v>204:英语</v>
      </c>
      <c r="N44" s="8">
        <v>26</v>
      </c>
      <c r="O44" s="9">
        <v>45.1</v>
      </c>
      <c r="P44" s="9">
        <f t="shared" si="36"/>
        <v>71.099999999999994</v>
      </c>
      <c r="Q44" s="8">
        <v>15</v>
      </c>
    </row>
    <row r="45" spans="1:17" ht="29.25" customHeight="1">
      <c r="A45" s="5">
        <v>43</v>
      </c>
      <c r="B45" s="17" t="str">
        <f>"肖爽"</f>
        <v>肖爽</v>
      </c>
      <c r="C45" s="17" t="str">
        <f>"男        "</f>
        <v xml:space="preserve">男        </v>
      </c>
      <c r="D45" s="17" t="str">
        <f t="shared" si="16"/>
        <v>汉族</v>
      </c>
      <c r="E45" s="17" t="str">
        <f>"北流"</f>
        <v>北流</v>
      </c>
      <c r="F45" s="17" t="str">
        <f>"1994年04月"</f>
        <v>1994年04月</v>
      </c>
      <c r="G45" s="17" t="str">
        <f t="shared" si="42"/>
        <v>共青团员</v>
      </c>
      <c r="H45" s="17" t="str">
        <f>"玉林师范学院历史学"</f>
        <v>玉林师范学院历史学</v>
      </c>
      <c r="I45" s="17" t="str">
        <f t="shared" ref="I45:I49" si="44">"历史学"</f>
        <v>历史学</v>
      </c>
      <c r="J45" s="17" t="str">
        <f t="shared" si="18"/>
        <v>本科学士</v>
      </c>
      <c r="K45" s="17" t="str">
        <f t="shared" si="43"/>
        <v>2017.06.01</v>
      </c>
      <c r="L45" s="17" t="str">
        <f t="shared" si="19"/>
        <v>初中</v>
      </c>
      <c r="M45" s="17" t="str">
        <f t="shared" ref="M45:M54" si="45">"206:历史"</f>
        <v>206:历史</v>
      </c>
      <c r="N45" s="9">
        <v>24</v>
      </c>
      <c r="O45" s="9">
        <v>54.37</v>
      </c>
      <c r="P45" s="9">
        <f t="shared" ref="P45:P54" si="46">O45+N45</f>
        <v>78.37</v>
      </c>
      <c r="Q45" s="9">
        <v>1</v>
      </c>
    </row>
    <row r="46" spans="1:17" ht="29.25" customHeight="1">
      <c r="A46" s="5">
        <v>44</v>
      </c>
      <c r="B46" s="17" t="str">
        <f>"梁云"</f>
        <v>梁云</v>
      </c>
      <c r="C46" s="17" t="str">
        <f t="shared" ref="C46:C57" si="47">"女        "</f>
        <v xml:space="preserve">女        </v>
      </c>
      <c r="D46" s="17" t="str">
        <f t="shared" si="16"/>
        <v>汉族</v>
      </c>
      <c r="E46" s="17" t="str">
        <f t="shared" ref="E46:E51" si="48">"容县"</f>
        <v>容县</v>
      </c>
      <c r="F46" s="17" t="str">
        <f>"1994年03月"</f>
        <v>1994年03月</v>
      </c>
      <c r="G46" s="17" t="str">
        <f t="shared" si="42"/>
        <v>共青团员</v>
      </c>
      <c r="H46" s="17" t="str">
        <f>"广西师范学院历史学"</f>
        <v>广西师范学院历史学</v>
      </c>
      <c r="I46" s="17" t="str">
        <f t="shared" si="44"/>
        <v>历史学</v>
      </c>
      <c r="J46" s="17" t="str">
        <f t="shared" si="18"/>
        <v>本科学士</v>
      </c>
      <c r="K46" s="17" t="str">
        <f t="shared" si="43"/>
        <v>2017.06.01</v>
      </c>
      <c r="L46" s="17" t="str">
        <f t="shared" si="19"/>
        <v>初中</v>
      </c>
      <c r="M46" s="17" t="str">
        <f t="shared" si="45"/>
        <v>206:历史</v>
      </c>
      <c r="N46" s="9">
        <v>28</v>
      </c>
      <c r="O46" s="9">
        <v>49</v>
      </c>
      <c r="P46" s="9">
        <f t="shared" si="46"/>
        <v>77</v>
      </c>
      <c r="Q46" s="9">
        <v>2</v>
      </c>
    </row>
    <row r="47" spans="1:17" ht="29.25" customHeight="1">
      <c r="A47" s="5">
        <v>45</v>
      </c>
      <c r="B47" s="17" t="str">
        <f>"车海丽"</f>
        <v>车海丽</v>
      </c>
      <c r="C47" s="17" t="str">
        <f t="shared" si="47"/>
        <v xml:space="preserve">女        </v>
      </c>
      <c r="D47" s="17" t="str">
        <f t="shared" si="16"/>
        <v>汉族</v>
      </c>
      <c r="E47" s="17" t="str">
        <f t="shared" si="48"/>
        <v>容县</v>
      </c>
      <c r="F47" s="17" t="str">
        <f>"1995年09月"</f>
        <v>1995年09月</v>
      </c>
      <c r="G47" s="17" t="str">
        <f t="shared" si="42"/>
        <v>共青团员</v>
      </c>
      <c r="H47" s="17" t="str">
        <f>"百色学院人文教育"</f>
        <v>百色学院人文教育</v>
      </c>
      <c r="I47" s="17" t="str">
        <f>"人文教育"</f>
        <v>人文教育</v>
      </c>
      <c r="J47" s="17" t="str">
        <f t="shared" si="18"/>
        <v>本科学士</v>
      </c>
      <c r="K47" s="17" t="str">
        <f t="shared" si="43"/>
        <v>2017.06.01</v>
      </c>
      <c r="L47" s="17" t="str">
        <f t="shared" si="19"/>
        <v>初中</v>
      </c>
      <c r="M47" s="17" t="str">
        <f t="shared" si="45"/>
        <v>206:历史</v>
      </c>
      <c r="N47" s="9">
        <v>23</v>
      </c>
      <c r="O47" s="9">
        <v>53</v>
      </c>
      <c r="P47" s="9">
        <f t="shared" si="46"/>
        <v>76</v>
      </c>
      <c r="Q47" s="9">
        <v>3</v>
      </c>
    </row>
    <row r="48" spans="1:17" ht="29.25" customHeight="1">
      <c r="A48" s="5">
        <v>46</v>
      </c>
      <c r="B48" s="17" t="str">
        <f>"李雪连"</f>
        <v>李雪连</v>
      </c>
      <c r="C48" s="17" t="str">
        <f t="shared" si="47"/>
        <v xml:space="preserve">女        </v>
      </c>
      <c r="D48" s="17" t="str">
        <f t="shared" si="16"/>
        <v>汉族</v>
      </c>
      <c r="E48" s="17" t="str">
        <f>"北流市"</f>
        <v>北流市</v>
      </c>
      <c r="F48" s="17" t="str">
        <f>"1993年07月"</f>
        <v>1993年07月</v>
      </c>
      <c r="G48" s="17" t="str">
        <f t="shared" si="42"/>
        <v>共青团员</v>
      </c>
      <c r="H48" s="17" t="str">
        <f>"贺州学院历史学"</f>
        <v>贺州学院历史学</v>
      </c>
      <c r="I48" s="17" t="str">
        <f t="shared" si="44"/>
        <v>历史学</v>
      </c>
      <c r="J48" s="17" t="str">
        <f t="shared" si="18"/>
        <v>本科学士</v>
      </c>
      <c r="K48" s="17" t="str">
        <f t="shared" si="43"/>
        <v>2017.06.01</v>
      </c>
      <c r="L48" s="17" t="str">
        <f t="shared" si="19"/>
        <v>初中</v>
      </c>
      <c r="M48" s="17" t="str">
        <f t="shared" si="45"/>
        <v>206:历史</v>
      </c>
      <c r="N48" s="9">
        <v>23</v>
      </c>
      <c r="O48" s="9">
        <v>50</v>
      </c>
      <c r="P48" s="9">
        <f t="shared" si="46"/>
        <v>73</v>
      </c>
      <c r="Q48" s="9">
        <v>4</v>
      </c>
    </row>
    <row r="49" spans="1:17" ht="29.25" customHeight="1">
      <c r="A49" s="5">
        <v>47</v>
      </c>
      <c r="B49" s="17" t="str">
        <f>"窦玉凤"</f>
        <v>窦玉凤</v>
      </c>
      <c r="C49" s="17" t="str">
        <f t="shared" si="47"/>
        <v xml:space="preserve">女        </v>
      </c>
      <c r="D49" s="17" t="str">
        <f t="shared" si="16"/>
        <v>汉族</v>
      </c>
      <c r="E49" s="17" t="str">
        <f>"北流"</f>
        <v>北流</v>
      </c>
      <c r="F49" s="17" t="str">
        <f>"1992年08月"</f>
        <v>1992年08月</v>
      </c>
      <c r="G49" s="17" t="str">
        <f t="shared" si="42"/>
        <v>共青团员</v>
      </c>
      <c r="H49" s="17" t="str">
        <f t="shared" ref="H49:H54" si="49">"玉林师范学院历史学"</f>
        <v>玉林师范学院历史学</v>
      </c>
      <c r="I49" s="17" t="str">
        <f t="shared" si="44"/>
        <v>历史学</v>
      </c>
      <c r="J49" s="17" t="str">
        <f t="shared" si="18"/>
        <v>本科学士</v>
      </c>
      <c r="K49" s="17" t="str">
        <f t="shared" si="43"/>
        <v>2017.06.01</v>
      </c>
      <c r="L49" s="17" t="str">
        <f t="shared" si="19"/>
        <v>初中</v>
      </c>
      <c r="M49" s="17" t="str">
        <f t="shared" si="45"/>
        <v>206:历史</v>
      </c>
      <c r="N49" s="9">
        <v>22</v>
      </c>
      <c r="O49" s="9">
        <v>49.67</v>
      </c>
      <c r="P49" s="9">
        <f t="shared" si="46"/>
        <v>71.67</v>
      </c>
      <c r="Q49" s="9">
        <v>5</v>
      </c>
    </row>
    <row r="50" spans="1:17" ht="29.25" customHeight="1">
      <c r="A50" s="5">
        <v>48</v>
      </c>
      <c r="B50" s="17" t="str">
        <f>"甘思明"</f>
        <v>甘思明</v>
      </c>
      <c r="C50" s="17" t="str">
        <f t="shared" si="47"/>
        <v xml:space="preserve">女        </v>
      </c>
      <c r="D50" s="17" t="str">
        <f t="shared" si="16"/>
        <v>汉族</v>
      </c>
      <c r="E50" s="17" t="str">
        <f t="shared" si="48"/>
        <v>容县</v>
      </c>
      <c r="F50" s="17" t="str">
        <f>"1994年07月"</f>
        <v>1994年07月</v>
      </c>
      <c r="G50" s="17" t="str">
        <f t="shared" si="42"/>
        <v>共青团员</v>
      </c>
      <c r="H50" s="17" t="str">
        <f>"玉林师范学院历史学历史文化旅游方向"</f>
        <v>玉林师范学院历史学历史文化旅游方向</v>
      </c>
      <c r="I50" s="17" t="str">
        <f>"历史学历史文化旅游方向"</f>
        <v>历史学历史文化旅游方向</v>
      </c>
      <c r="J50" s="17" t="str">
        <f t="shared" si="18"/>
        <v>本科学士</v>
      </c>
      <c r="K50" s="17" t="str">
        <f>"2016.06.01"</f>
        <v>2016.06.01</v>
      </c>
      <c r="L50" s="17" t="str">
        <f t="shared" si="19"/>
        <v>初中</v>
      </c>
      <c r="M50" s="17" t="str">
        <f t="shared" si="45"/>
        <v>206:历史</v>
      </c>
      <c r="N50" s="9">
        <v>21</v>
      </c>
      <c r="O50" s="9">
        <v>50.67</v>
      </c>
      <c r="P50" s="9">
        <f t="shared" si="46"/>
        <v>71.67</v>
      </c>
      <c r="Q50" s="9">
        <v>6</v>
      </c>
    </row>
    <row r="51" spans="1:17" ht="29.25" customHeight="1">
      <c r="A51" s="5">
        <v>49</v>
      </c>
      <c r="B51" s="17" t="str">
        <f>"区妮"</f>
        <v>区妮</v>
      </c>
      <c r="C51" s="17" t="str">
        <f t="shared" si="47"/>
        <v xml:space="preserve">女        </v>
      </c>
      <c r="D51" s="17" t="str">
        <f t="shared" si="16"/>
        <v>汉族</v>
      </c>
      <c r="E51" s="17" t="str">
        <f t="shared" si="48"/>
        <v>容县</v>
      </c>
      <c r="F51" s="17" t="str">
        <f>"1993年02月"</f>
        <v>1993年02月</v>
      </c>
      <c r="G51" s="17" t="str">
        <f t="shared" si="42"/>
        <v>共青团员</v>
      </c>
      <c r="H51" s="17" t="str">
        <f>"广西师范学院历史学"</f>
        <v>广西师范学院历史学</v>
      </c>
      <c r="I51" s="17" t="str">
        <f t="shared" ref="I51:I54" si="50">"历史学"</f>
        <v>历史学</v>
      </c>
      <c r="J51" s="17" t="str">
        <f t="shared" si="18"/>
        <v>本科学士</v>
      </c>
      <c r="K51" s="17" t="str">
        <f t="shared" ref="K51:K54" si="51">"2017.06.01"</f>
        <v>2017.06.01</v>
      </c>
      <c r="L51" s="17" t="str">
        <f t="shared" si="19"/>
        <v>初中</v>
      </c>
      <c r="M51" s="17" t="str">
        <f t="shared" si="45"/>
        <v>206:历史</v>
      </c>
      <c r="N51" s="9">
        <v>25</v>
      </c>
      <c r="O51" s="9">
        <v>46</v>
      </c>
      <c r="P51" s="9">
        <f t="shared" si="46"/>
        <v>71</v>
      </c>
      <c r="Q51" s="9">
        <v>7</v>
      </c>
    </row>
    <row r="52" spans="1:17" ht="29.25" customHeight="1">
      <c r="A52" s="5">
        <v>50</v>
      </c>
      <c r="B52" s="17" t="str">
        <f>"罗佩涢"</f>
        <v>罗佩涢</v>
      </c>
      <c r="C52" s="17" t="str">
        <f t="shared" si="47"/>
        <v xml:space="preserve">女        </v>
      </c>
      <c r="D52" s="17" t="str">
        <f t="shared" si="16"/>
        <v>汉族</v>
      </c>
      <c r="E52" s="17" t="str">
        <f>"北流"</f>
        <v>北流</v>
      </c>
      <c r="F52" s="17" t="str">
        <f>"1994年07月"</f>
        <v>1994年07月</v>
      </c>
      <c r="G52" s="17" t="str">
        <f t="shared" si="42"/>
        <v>共青团员</v>
      </c>
      <c r="H52" s="17" t="str">
        <f t="shared" si="49"/>
        <v>玉林师范学院历史学</v>
      </c>
      <c r="I52" s="17" t="str">
        <f t="shared" si="50"/>
        <v>历史学</v>
      </c>
      <c r="J52" s="17" t="str">
        <f t="shared" si="18"/>
        <v>本科学士</v>
      </c>
      <c r="K52" s="17" t="str">
        <f t="shared" si="51"/>
        <v>2017.06.01</v>
      </c>
      <c r="L52" s="17" t="str">
        <f t="shared" si="19"/>
        <v>初中</v>
      </c>
      <c r="M52" s="17" t="str">
        <f t="shared" si="45"/>
        <v>206:历史</v>
      </c>
      <c r="N52" s="9">
        <v>22</v>
      </c>
      <c r="O52" s="9">
        <v>47.07</v>
      </c>
      <c r="P52" s="9">
        <f t="shared" si="46"/>
        <v>69.069999999999993</v>
      </c>
      <c r="Q52" s="9">
        <v>8</v>
      </c>
    </row>
    <row r="53" spans="1:17" ht="29.25" customHeight="1">
      <c r="A53" s="5">
        <v>51</v>
      </c>
      <c r="B53" s="17" t="str">
        <f>"梁雪仪"</f>
        <v>梁雪仪</v>
      </c>
      <c r="C53" s="17" t="str">
        <f t="shared" si="47"/>
        <v xml:space="preserve">女        </v>
      </c>
      <c r="D53" s="17" t="str">
        <f t="shared" si="16"/>
        <v>汉族</v>
      </c>
      <c r="E53" s="17" t="str">
        <f t="shared" ref="E53:E56" si="52">"容县"</f>
        <v>容县</v>
      </c>
      <c r="F53" s="17" t="str">
        <f>"1995年02月"</f>
        <v>1995年02月</v>
      </c>
      <c r="G53" s="17" t="str">
        <f t="shared" si="42"/>
        <v>共青团员</v>
      </c>
      <c r="H53" s="17" t="str">
        <f>"泉州师范学院历史学"</f>
        <v>泉州师范学院历史学</v>
      </c>
      <c r="I53" s="17" t="str">
        <f t="shared" si="50"/>
        <v>历史学</v>
      </c>
      <c r="J53" s="17" t="str">
        <f t="shared" si="18"/>
        <v>本科学士</v>
      </c>
      <c r="K53" s="17" t="str">
        <f t="shared" si="51"/>
        <v>2017.06.01</v>
      </c>
      <c r="L53" s="17" t="str">
        <f t="shared" si="19"/>
        <v>初中</v>
      </c>
      <c r="M53" s="17" t="str">
        <f t="shared" si="45"/>
        <v>206:历史</v>
      </c>
      <c r="N53" s="9">
        <v>22</v>
      </c>
      <c r="O53" s="9">
        <v>45.33</v>
      </c>
      <c r="P53" s="9">
        <f t="shared" si="46"/>
        <v>67.33</v>
      </c>
      <c r="Q53" s="9">
        <v>9</v>
      </c>
    </row>
    <row r="54" spans="1:17" ht="29.25" customHeight="1">
      <c r="A54" s="5">
        <v>52</v>
      </c>
      <c r="B54" s="17" t="str">
        <f>"梁月清"</f>
        <v>梁月清</v>
      </c>
      <c r="C54" s="17" t="str">
        <f t="shared" si="47"/>
        <v xml:space="preserve">女        </v>
      </c>
      <c r="D54" s="17" t="str">
        <f t="shared" si="16"/>
        <v>汉族</v>
      </c>
      <c r="E54" s="17" t="str">
        <f t="shared" si="52"/>
        <v>容县</v>
      </c>
      <c r="F54" s="17" t="str">
        <f>"1993年11月"</f>
        <v>1993年11月</v>
      </c>
      <c r="G54" s="17" t="str">
        <f t="shared" si="42"/>
        <v>共青团员</v>
      </c>
      <c r="H54" s="17" t="str">
        <f t="shared" si="49"/>
        <v>玉林师范学院历史学</v>
      </c>
      <c r="I54" s="17" t="str">
        <f t="shared" si="50"/>
        <v>历史学</v>
      </c>
      <c r="J54" s="17" t="str">
        <f t="shared" si="18"/>
        <v>本科学士</v>
      </c>
      <c r="K54" s="17" t="str">
        <f t="shared" si="51"/>
        <v>2017.06.01</v>
      </c>
      <c r="L54" s="17" t="str">
        <f t="shared" si="19"/>
        <v>初中</v>
      </c>
      <c r="M54" s="17" t="str">
        <f t="shared" si="45"/>
        <v>206:历史</v>
      </c>
      <c r="N54" s="9">
        <v>23</v>
      </c>
      <c r="O54" s="9">
        <v>42.67</v>
      </c>
      <c r="P54" s="9">
        <f t="shared" si="46"/>
        <v>65.67</v>
      </c>
      <c r="Q54" s="9">
        <v>10</v>
      </c>
    </row>
    <row r="55" spans="1:17" ht="29.25" customHeight="1">
      <c r="A55" s="5">
        <v>53</v>
      </c>
      <c r="B55" s="5" t="str">
        <f>"李海琪"</f>
        <v>李海琪</v>
      </c>
      <c r="C55" s="5" t="str">
        <f t="shared" si="47"/>
        <v xml:space="preserve">女        </v>
      </c>
      <c r="D55" s="5" t="str">
        <f t="shared" si="16"/>
        <v>汉族</v>
      </c>
      <c r="E55" s="5" t="str">
        <f t="shared" si="52"/>
        <v>容县</v>
      </c>
      <c r="F55" s="5" t="str">
        <f>"1988年10月"</f>
        <v>1988年10月</v>
      </c>
      <c r="G55" s="5" t="str">
        <f t="shared" si="42"/>
        <v>共青团员</v>
      </c>
      <c r="H55" s="5" t="str">
        <f>"天津师范大学地理科学"</f>
        <v>天津师范大学地理科学</v>
      </c>
      <c r="I55" s="5" t="str">
        <f t="shared" ref="I55:I56" si="53">"地理科学"</f>
        <v>地理科学</v>
      </c>
      <c r="J55" s="5" t="str">
        <f>"研究生学士"</f>
        <v>研究生学士</v>
      </c>
      <c r="K55" s="5" t="str">
        <f>"2015.06.01"</f>
        <v>2015.06.01</v>
      </c>
      <c r="L55" s="5" t="str">
        <f t="shared" si="19"/>
        <v>初中</v>
      </c>
      <c r="M55" s="5" t="str">
        <f t="shared" ref="M55:M57" si="54">"207:地理"</f>
        <v>207:地理</v>
      </c>
      <c r="N55" s="8">
        <v>24</v>
      </c>
      <c r="O55" s="9">
        <v>51</v>
      </c>
      <c r="P55" s="9">
        <f t="shared" ref="P55:P57" si="55">N55+O55</f>
        <v>75</v>
      </c>
      <c r="Q55" s="9">
        <v>1</v>
      </c>
    </row>
    <row r="56" spans="1:17" ht="29.25" customHeight="1">
      <c r="A56" s="5">
        <v>54</v>
      </c>
      <c r="B56" s="5" t="str">
        <f>"刘湘铷"</f>
        <v>刘湘铷</v>
      </c>
      <c r="C56" s="5" t="str">
        <f t="shared" si="47"/>
        <v xml:space="preserve">女        </v>
      </c>
      <c r="D56" s="5" t="str">
        <f t="shared" si="16"/>
        <v>汉族</v>
      </c>
      <c r="E56" s="5" t="str">
        <f t="shared" si="52"/>
        <v>容县</v>
      </c>
      <c r="F56" s="5" t="str">
        <f>"1994年06月"</f>
        <v>1994年06月</v>
      </c>
      <c r="G56" s="5" t="str">
        <f t="shared" ref="G56:G68" si="56">"共青团员"</f>
        <v>共青团员</v>
      </c>
      <c r="H56" s="5" t="str">
        <f>"广西师范学院师园学院地理科学"</f>
        <v>广西师范学院师园学院地理科学</v>
      </c>
      <c r="I56" s="5" t="str">
        <f t="shared" si="53"/>
        <v>地理科学</v>
      </c>
      <c r="J56" s="5" t="str">
        <f t="shared" ref="J56:J95" si="57">"本科学士"</f>
        <v>本科学士</v>
      </c>
      <c r="K56" s="5" t="str">
        <f>"2017.07.01"</f>
        <v>2017.07.01</v>
      </c>
      <c r="L56" s="5" t="str">
        <f t="shared" si="19"/>
        <v>初中</v>
      </c>
      <c r="M56" s="5" t="str">
        <f t="shared" si="54"/>
        <v>207:地理</v>
      </c>
      <c r="N56" s="8">
        <v>23</v>
      </c>
      <c r="O56" s="9">
        <v>45.5</v>
      </c>
      <c r="P56" s="9">
        <f t="shared" si="55"/>
        <v>68.5</v>
      </c>
      <c r="Q56" s="9">
        <v>3</v>
      </c>
    </row>
    <row r="57" spans="1:17" s="10" customFormat="1" ht="29.25" customHeight="1">
      <c r="A57" s="5">
        <v>55</v>
      </c>
      <c r="B57" s="5" t="str">
        <f>"杨秋霞"</f>
        <v>杨秋霞</v>
      </c>
      <c r="C57" s="5" t="str">
        <f t="shared" si="47"/>
        <v xml:space="preserve">女        </v>
      </c>
      <c r="D57" s="5" t="str">
        <f t="shared" si="16"/>
        <v>汉族</v>
      </c>
      <c r="E57" s="5" t="str">
        <f>"北流"</f>
        <v>北流</v>
      </c>
      <c r="F57" s="5" t="str">
        <f>"1995年06月"</f>
        <v>1995年06月</v>
      </c>
      <c r="G57" s="5" t="str">
        <f t="shared" si="56"/>
        <v>共青团员</v>
      </c>
      <c r="H57" s="5" t="str">
        <f>"广西教育学院地理教育"</f>
        <v>广西教育学院地理教育</v>
      </c>
      <c r="I57" s="5" t="str">
        <f>"地理教育"</f>
        <v>地理教育</v>
      </c>
      <c r="J57" s="5" t="str">
        <f>"专科无学位"</f>
        <v>专科无学位</v>
      </c>
      <c r="K57" s="5" t="str">
        <f t="shared" ref="K57:K64" si="58">"2017.06.01"</f>
        <v>2017.06.01</v>
      </c>
      <c r="L57" s="5" t="str">
        <f t="shared" si="19"/>
        <v>初中</v>
      </c>
      <c r="M57" s="5" t="str">
        <f t="shared" si="54"/>
        <v>207:地理</v>
      </c>
      <c r="N57" s="8">
        <v>17</v>
      </c>
      <c r="O57" s="9">
        <v>47.5</v>
      </c>
      <c r="P57" s="9">
        <f t="shared" si="55"/>
        <v>64.5</v>
      </c>
      <c r="Q57" s="9">
        <v>4</v>
      </c>
    </row>
    <row r="58" spans="1:17" ht="29.25" customHeight="1">
      <c r="A58" s="5">
        <v>56</v>
      </c>
      <c r="B58" s="17" t="str">
        <f>"汪沛文"</f>
        <v>汪沛文</v>
      </c>
      <c r="C58" s="17" t="str">
        <f>"男        "</f>
        <v xml:space="preserve">男        </v>
      </c>
      <c r="D58" s="17" t="str">
        <f t="shared" si="16"/>
        <v>汉族</v>
      </c>
      <c r="E58" s="17" t="str">
        <f>"江西省新余市"</f>
        <v>江西省新余市</v>
      </c>
      <c r="F58" s="17" t="str">
        <f>"1994年12月"</f>
        <v>1994年12月</v>
      </c>
      <c r="G58" s="17" t="str">
        <f>"中共党员"</f>
        <v>中共党员</v>
      </c>
      <c r="H58" s="17" t="str">
        <f>"云南农业大学生物技术"</f>
        <v>云南农业大学生物技术</v>
      </c>
      <c r="I58" s="17" t="str">
        <f>"生物技术"</f>
        <v>生物技术</v>
      </c>
      <c r="J58" s="17" t="str">
        <f t="shared" si="57"/>
        <v>本科学士</v>
      </c>
      <c r="K58" s="17" t="str">
        <f t="shared" si="58"/>
        <v>2017.06.01</v>
      </c>
      <c r="L58" s="17" t="str">
        <f t="shared" si="19"/>
        <v>初中</v>
      </c>
      <c r="M58" s="17" t="str">
        <f t="shared" ref="M58:M62" si="59">"209:生物"</f>
        <v>209:生物</v>
      </c>
      <c r="N58" s="9">
        <v>24</v>
      </c>
      <c r="O58" s="9">
        <v>53.93</v>
      </c>
      <c r="P58" s="9">
        <f t="shared" ref="P58:P100" si="60">O58+N58</f>
        <v>77.930000000000007</v>
      </c>
      <c r="Q58" s="9">
        <v>1</v>
      </c>
    </row>
    <row r="59" spans="1:17" ht="29.25" customHeight="1">
      <c r="A59" s="5">
        <v>57</v>
      </c>
      <c r="B59" s="17" t="str">
        <f>"陈妮"</f>
        <v>陈妮</v>
      </c>
      <c r="C59" s="17" t="str">
        <f t="shared" ref="C59:C64" si="61">"女        "</f>
        <v xml:space="preserve">女        </v>
      </c>
      <c r="D59" s="17" t="str">
        <f t="shared" si="16"/>
        <v>汉族</v>
      </c>
      <c r="E59" s="17" t="str">
        <f t="shared" ref="E59:E67" si="62">"容县"</f>
        <v>容县</v>
      </c>
      <c r="F59" s="17" t="str">
        <f>"1990年12月"</f>
        <v>1990年12月</v>
      </c>
      <c r="G59" s="17" t="str">
        <f>"群众"</f>
        <v>群众</v>
      </c>
      <c r="H59" s="17" t="str">
        <f>"玉林师范学院生物科学"</f>
        <v>玉林师范学院生物科学</v>
      </c>
      <c r="I59" s="17" t="str">
        <f>"生物科学"</f>
        <v>生物科学</v>
      </c>
      <c r="J59" s="17" t="str">
        <f t="shared" si="57"/>
        <v>本科学士</v>
      </c>
      <c r="K59" s="17" t="str">
        <f>"2015.06.01"</f>
        <v>2015.06.01</v>
      </c>
      <c r="L59" s="17" t="str">
        <f t="shared" si="19"/>
        <v>初中</v>
      </c>
      <c r="M59" s="17" t="str">
        <f t="shared" si="59"/>
        <v>209:生物</v>
      </c>
      <c r="N59" s="9">
        <v>23</v>
      </c>
      <c r="O59" s="9">
        <v>50.8</v>
      </c>
      <c r="P59" s="9">
        <f t="shared" si="60"/>
        <v>73.8</v>
      </c>
      <c r="Q59" s="9">
        <v>2</v>
      </c>
    </row>
    <row r="60" spans="1:17" ht="29.25" customHeight="1">
      <c r="A60" s="5">
        <v>58</v>
      </c>
      <c r="B60" s="17" t="str">
        <f>"黄淑琳"</f>
        <v>黄淑琳</v>
      </c>
      <c r="C60" s="17" t="str">
        <f t="shared" si="61"/>
        <v xml:space="preserve">女        </v>
      </c>
      <c r="D60" s="17" t="str">
        <f t="shared" si="16"/>
        <v>汉族</v>
      </c>
      <c r="E60" s="17" t="str">
        <f>"玉林"</f>
        <v>玉林</v>
      </c>
      <c r="F60" s="17" t="str">
        <f>"1993年09月"</f>
        <v>1993年09月</v>
      </c>
      <c r="G60" s="17" t="str">
        <f t="shared" si="56"/>
        <v>共青团员</v>
      </c>
      <c r="H60" s="17" t="str">
        <f>"昆明学院生物科学"</f>
        <v>昆明学院生物科学</v>
      </c>
      <c r="I60" s="17" t="str">
        <f>"生物科学"</f>
        <v>生物科学</v>
      </c>
      <c r="J60" s="17" t="str">
        <f t="shared" si="57"/>
        <v>本科学士</v>
      </c>
      <c r="K60" s="17" t="str">
        <f>"2017.07.01"</f>
        <v>2017.07.01</v>
      </c>
      <c r="L60" s="17" t="str">
        <f t="shared" si="19"/>
        <v>初中</v>
      </c>
      <c r="M60" s="17" t="str">
        <f t="shared" si="59"/>
        <v>209:生物</v>
      </c>
      <c r="N60" s="9">
        <v>23</v>
      </c>
      <c r="O60" s="9">
        <v>45.67</v>
      </c>
      <c r="P60" s="9">
        <f t="shared" si="60"/>
        <v>68.67</v>
      </c>
      <c r="Q60" s="9">
        <v>3</v>
      </c>
    </row>
    <row r="61" spans="1:17" ht="29.25" customHeight="1">
      <c r="A61" s="5">
        <v>59</v>
      </c>
      <c r="B61" s="17" t="str">
        <f>"吴金兰"</f>
        <v>吴金兰</v>
      </c>
      <c r="C61" s="17" t="str">
        <f t="shared" si="61"/>
        <v xml:space="preserve">女        </v>
      </c>
      <c r="D61" s="17" t="str">
        <f t="shared" si="16"/>
        <v>汉族</v>
      </c>
      <c r="E61" s="17" t="str">
        <f>"北流市"</f>
        <v>北流市</v>
      </c>
      <c r="F61" s="17" t="str">
        <f>"1991年06月"</f>
        <v>1991年06月</v>
      </c>
      <c r="G61" s="17" t="str">
        <f t="shared" si="56"/>
        <v>共青团员</v>
      </c>
      <c r="H61" s="17" t="str">
        <f>"玉林师范学院生物技术"</f>
        <v>玉林师范学院生物技术</v>
      </c>
      <c r="I61" s="17" t="str">
        <f>"生物技术"</f>
        <v>生物技术</v>
      </c>
      <c r="J61" s="17" t="str">
        <f t="shared" si="57"/>
        <v>本科学士</v>
      </c>
      <c r="K61" s="17" t="str">
        <f>"2015.07.01"</f>
        <v>2015.07.01</v>
      </c>
      <c r="L61" s="17" t="str">
        <f t="shared" si="19"/>
        <v>初中</v>
      </c>
      <c r="M61" s="17" t="str">
        <f t="shared" si="59"/>
        <v>209:生物</v>
      </c>
      <c r="N61" s="9">
        <v>24</v>
      </c>
      <c r="O61" s="9">
        <v>39.33</v>
      </c>
      <c r="P61" s="9">
        <f t="shared" si="60"/>
        <v>63.33</v>
      </c>
      <c r="Q61" s="9">
        <v>4</v>
      </c>
    </row>
    <row r="62" spans="1:17" ht="29.25" customHeight="1">
      <c r="A62" s="5">
        <v>60</v>
      </c>
      <c r="B62" s="17" t="str">
        <f>"梁理"</f>
        <v>梁理</v>
      </c>
      <c r="C62" s="17" t="str">
        <f t="shared" si="61"/>
        <v xml:space="preserve">女        </v>
      </c>
      <c r="D62" s="17" t="str">
        <f t="shared" si="16"/>
        <v>汉族</v>
      </c>
      <c r="E62" s="17" t="str">
        <f t="shared" si="62"/>
        <v>容县</v>
      </c>
      <c r="F62" s="17" t="str">
        <f>"1992年08月"</f>
        <v>1992年08月</v>
      </c>
      <c r="G62" s="17" t="str">
        <f t="shared" si="56"/>
        <v>共青团员</v>
      </c>
      <c r="H62" s="17" t="str">
        <f>"广西师范学院环境科学"</f>
        <v>广西师范学院环境科学</v>
      </c>
      <c r="I62" s="17" t="str">
        <f>"环境科学"</f>
        <v>环境科学</v>
      </c>
      <c r="J62" s="17" t="str">
        <f t="shared" si="57"/>
        <v>本科学士</v>
      </c>
      <c r="K62" s="17" t="str">
        <f t="shared" si="58"/>
        <v>2017.06.01</v>
      </c>
      <c r="L62" s="17" t="str">
        <f t="shared" si="19"/>
        <v>初中</v>
      </c>
      <c r="M62" s="17" t="str">
        <f t="shared" si="59"/>
        <v>209:生物</v>
      </c>
      <c r="N62" s="9">
        <v>23</v>
      </c>
      <c r="O62" s="9">
        <v>39.33</v>
      </c>
      <c r="P62" s="9">
        <f t="shared" si="60"/>
        <v>62.33</v>
      </c>
      <c r="Q62" s="9">
        <v>5</v>
      </c>
    </row>
    <row r="63" spans="1:17" ht="29.25" customHeight="1">
      <c r="A63" s="5">
        <v>61</v>
      </c>
      <c r="B63" s="5" t="str">
        <f>"李秋兰"</f>
        <v>李秋兰</v>
      </c>
      <c r="C63" s="5" t="str">
        <f t="shared" si="61"/>
        <v xml:space="preserve">女        </v>
      </c>
      <c r="D63" s="5" t="str">
        <f t="shared" si="16"/>
        <v>汉族</v>
      </c>
      <c r="E63" s="5" t="str">
        <f t="shared" si="62"/>
        <v>容县</v>
      </c>
      <c r="F63" s="5" t="str">
        <f>"1993年09月"</f>
        <v>1993年09月</v>
      </c>
      <c r="G63" s="5" t="str">
        <f t="shared" si="56"/>
        <v>共青团员</v>
      </c>
      <c r="H63" s="5" t="str">
        <f>"玉林师范学院物理"</f>
        <v>玉林师范学院物理</v>
      </c>
      <c r="I63" s="5" t="str">
        <f>"物理"</f>
        <v>物理</v>
      </c>
      <c r="J63" s="5" t="str">
        <f t="shared" si="57"/>
        <v>本科学士</v>
      </c>
      <c r="K63" s="5" t="str">
        <f t="shared" si="58"/>
        <v>2017.06.01</v>
      </c>
      <c r="L63" s="5" t="str">
        <f t="shared" si="19"/>
        <v>初中</v>
      </c>
      <c r="M63" s="5" t="str">
        <f t="shared" ref="M63:M70" si="63">"210:物理"</f>
        <v>210:物理</v>
      </c>
      <c r="N63" s="8">
        <v>30</v>
      </c>
      <c r="O63" s="9">
        <v>49.07</v>
      </c>
      <c r="P63" s="8">
        <f t="shared" si="60"/>
        <v>79.069999999999993</v>
      </c>
      <c r="Q63" s="8">
        <v>1</v>
      </c>
    </row>
    <row r="64" spans="1:17" ht="29.25" customHeight="1">
      <c r="A64" s="5">
        <v>62</v>
      </c>
      <c r="B64" s="5" t="str">
        <f>"陈旭丽"</f>
        <v>陈旭丽</v>
      </c>
      <c r="C64" s="5" t="str">
        <f t="shared" si="61"/>
        <v xml:space="preserve">女        </v>
      </c>
      <c r="D64" s="5" t="str">
        <f t="shared" si="16"/>
        <v>汉族</v>
      </c>
      <c r="E64" s="5" t="str">
        <f t="shared" si="62"/>
        <v>容县</v>
      </c>
      <c r="F64" s="5" t="str">
        <f>"1994年07月"</f>
        <v>1994年07月</v>
      </c>
      <c r="G64" s="5" t="str">
        <f t="shared" si="56"/>
        <v>共青团员</v>
      </c>
      <c r="H64" s="5" t="str">
        <f>"玉林师范学院物理学"</f>
        <v>玉林师范学院物理学</v>
      </c>
      <c r="I64" s="5" t="str">
        <f t="shared" ref="I64:I65" si="64">"物理学"</f>
        <v>物理学</v>
      </c>
      <c r="J64" s="5" t="str">
        <f t="shared" si="57"/>
        <v>本科学士</v>
      </c>
      <c r="K64" s="5" t="str">
        <f t="shared" si="58"/>
        <v>2017.06.01</v>
      </c>
      <c r="L64" s="5" t="str">
        <f t="shared" si="19"/>
        <v>初中</v>
      </c>
      <c r="M64" s="5" t="str">
        <f t="shared" si="63"/>
        <v>210:物理</v>
      </c>
      <c r="N64" s="8">
        <v>27</v>
      </c>
      <c r="O64" s="9">
        <v>49</v>
      </c>
      <c r="P64" s="8">
        <f t="shared" si="60"/>
        <v>76</v>
      </c>
      <c r="Q64" s="8">
        <v>2</v>
      </c>
    </row>
    <row r="65" spans="1:18" ht="29.25" customHeight="1">
      <c r="A65" s="5">
        <v>63</v>
      </c>
      <c r="B65" s="5" t="str">
        <f>"莫燕芬"</f>
        <v>莫燕芬</v>
      </c>
      <c r="C65" s="5" t="str">
        <f>"女        "</f>
        <v xml:space="preserve">女        </v>
      </c>
      <c r="D65" s="5" t="str">
        <f t="shared" si="16"/>
        <v>汉族</v>
      </c>
      <c r="E65" s="5" t="str">
        <f t="shared" si="62"/>
        <v>容县</v>
      </c>
      <c r="F65" s="5" t="str">
        <f>"1994年04月"</f>
        <v>1994年04月</v>
      </c>
      <c r="G65" s="5" t="str">
        <f t="shared" si="56"/>
        <v>共青团员</v>
      </c>
      <c r="H65" s="5" t="str">
        <f>"贺州学院物理学"</f>
        <v>贺州学院物理学</v>
      </c>
      <c r="I65" s="5" t="str">
        <f t="shared" si="64"/>
        <v>物理学</v>
      </c>
      <c r="J65" s="5" t="str">
        <f t="shared" si="57"/>
        <v>本科学士</v>
      </c>
      <c r="K65" s="5" t="str">
        <f>"2017.06.01"</f>
        <v>2017.06.01</v>
      </c>
      <c r="L65" s="5" t="str">
        <f t="shared" si="19"/>
        <v>初中</v>
      </c>
      <c r="M65" s="5" t="str">
        <f t="shared" si="63"/>
        <v>210:物理</v>
      </c>
      <c r="N65" s="8">
        <v>26</v>
      </c>
      <c r="O65" s="9">
        <v>43.37</v>
      </c>
      <c r="P65" s="8">
        <f t="shared" si="60"/>
        <v>69.37</v>
      </c>
      <c r="Q65" s="8">
        <v>5</v>
      </c>
    </row>
    <row r="66" spans="1:18" ht="29.25" customHeight="1">
      <c r="A66" s="5">
        <v>64</v>
      </c>
      <c r="B66" s="5" t="str">
        <f>"陈杰"</f>
        <v>陈杰</v>
      </c>
      <c r="C66" s="5" t="str">
        <f t="shared" ref="C66:C70" si="65">"男        "</f>
        <v xml:space="preserve">男        </v>
      </c>
      <c r="D66" s="5" t="str">
        <f t="shared" si="16"/>
        <v>汉族</v>
      </c>
      <c r="E66" s="5" t="str">
        <f t="shared" si="62"/>
        <v>容县</v>
      </c>
      <c r="F66" s="5" t="str">
        <f>"1992年03月"</f>
        <v>1992年03月</v>
      </c>
      <c r="G66" s="5" t="str">
        <f t="shared" si="56"/>
        <v>共青团员</v>
      </c>
      <c r="H66" s="5" t="str">
        <f>"台州学院物理师范"</f>
        <v>台州学院物理师范</v>
      </c>
      <c r="I66" s="5" t="str">
        <f>"物理师范"</f>
        <v>物理师范</v>
      </c>
      <c r="J66" s="5" t="str">
        <f t="shared" si="57"/>
        <v>本科学士</v>
      </c>
      <c r="K66" s="5" t="str">
        <f>"2016.06.01"</f>
        <v>2016.06.01</v>
      </c>
      <c r="L66" s="5" t="str">
        <f t="shared" si="19"/>
        <v>初中</v>
      </c>
      <c r="M66" s="5" t="str">
        <f t="shared" si="63"/>
        <v>210:物理</v>
      </c>
      <c r="N66" s="8">
        <v>19</v>
      </c>
      <c r="O66" s="9">
        <v>50.1</v>
      </c>
      <c r="P66" s="8">
        <f t="shared" si="60"/>
        <v>69.099999999999994</v>
      </c>
      <c r="Q66" s="8">
        <v>6</v>
      </c>
    </row>
    <row r="67" spans="1:18" ht="29.25" customHeight="1">
      <c r="A67" s="5">
        <v>65</v>
      </c>
      <c r="B67" s="5" t="str">
        <f>"陈权明"</f>
        <v>陈权明</v>
      </c>
      <c r="C67" s="5" t="str">
        <f t="shared" si="65"/>
        <v xml:space="preserve">男        </v>
      </c>
      <c r="D67" s="5" t="str">
        <f t="shared" si="16"/>
        <v>汉族</v>
      </c>
      <c r="E67" s="5" t="str">
        <f t="shared" si="62"/>
        <v>容县</v>
      </c>
      <c r="F67" s="5" t="str">
        <f>"1992年10月"</f>
        <v>1992年10月</v>
      </c>
      <c r="G67" s="5" t="str">
        <f t="shared" si="56"/>
        <v>共青团员</v>
      </c>
      <c r="H67" s="5" t="str">
        <f>"广西师范大学科学教育"</f>
        <v>广西师范大学科学教育</v>
      </c>
      <c r="I67" s="5" t="str">
        <f>"科学教育"</f>
        <v>科学教育</v>
      </c>
      <c r="J67" s="5" t="str">
        <f t="shared" si="57"/>
        <v>本科学士</v>
      </c>
      <c r="K67" s="5" t="str">
        <f>"2016.07.01"</f>
        <v>2016.07.01</v>
      </c>
      <c r="L67" s="5" t="str">
        <f t="shared" si="19"/>
        <v>初中</v>
      </c>
      <c r="M67" s="5" t="str">
        <f t="shared" si="63"/>
        <v>210:物理</v>
      </c>
      <c r="N67" s="8">
        <v>25.5</v>
      </c>
      <c r="O67" s="9">
        <v>43.33</v>
      </c>
      <c r="P67" s="8">
        <f t="shared" si="60"/>
        <v>68.83</v>
      </c>
      <c r="Q67" s="8">
        <v>7</v>
      </c>
    </row>
    <row r="68" spans="1:18" ht="29.25" customHeight="1">
      <c r="A68" s="5">
        <v>66</v>
      </c>
      <c r="B68" s="5" t="str">
        <f>"李坤生"</f>
        <v>李坤生</v>
      </c>
      <c r="C68" s="5" t="str">
        <f t="shared" si="65"/>
        <v xml:space="preserve">男        </v>
      </c>
      <c r="D68" s="5" t="str">
        <f t="shared" si="16"/>
        <v>汉族</v>
      </c>
      <c r="E68" s="5" t="str">
        <f>"北流市"</f>
        <v>北流市</v>
      </c>
      <c r="F68" s="5" t="str">
        <f>"1993年02月"</f>
        <v>1993年02月</v>
      </c>
      <c r="G68" s="5" t="str">
        <f t="shared" si="56"/>
        <v>共青团员</v>
      </c>
      <c r="H68" s="5" t="str">
        <f>"大连民族大学功能材料"</f>
        <v>大连民族大学功能材料</v>
      </c>
      <c r="I68" s="5" t="str">
        <f>"功能材料"</f>
        <v>功能材料</v>
      </c>
      <c r="J68" s="5" t="str">
        <f t="shared" si="57"/>
        <v>本科学士</v>
      </c>
      <c r="K68" s="5" t="str">
        <f>"2017.07.01"</f>
        <v>2017.07.01</v>
      </c>
      <c r="L68" s="5" t="str">
        <f t="shared" si="19"/>
        <v>初中</v>
      </c>
      <c r="M68" s="5" t="str">
        <f t="shared" si="63"/>
        <v>210:物理</v>
      </c>
      <c r="N68" s="8">
        <v>18</v>
      </c>
      <c r="O68" s="9">
        <v>50.33</v>
      </c>
      <c r="P68" s="8">
        <f t="shared" si="60"/>
        <v>68.33</v>
      </c>
      <c r="Q68" s="8">
        <v>8</v>
      </c>
    </row>
    <row r="69" spans="1:18" ht="29.25" customHeight="1">
      <c r="A69" s="5">
        <v>67</v>
      </c>
      <c r="B69" s="5" t="str">
        <f>"刘进钊"</f>
        <v>刘进钊</v>
      </c>
      <c r="C69" s="5" t="str">
        <f t="shared" si="65"/>
        <v xml:space="preserve">男        </v>
      </c>
      <c r="D69" s="5" t="str">
        <f t="shared" si="16"/>
        <v>汉族</v>
      </c>
      <c r="E69" s="5" t="str">
        <f t="shared" ref="E69:E71" si="66">"容县"</f>
        <v>容县</v>
      </c>
      <c r="F69" s="5" t="str">
        <f>"1994年02月"</f>
        <v>1994年02月</v>
      </c>
      <c r="G69" s="5" t="str">
        <f>"群众"</f>
        <v>群众</v>
      </c>
      <c r="H69" s="5" t="str">
        <f>"玉林师范学院物理学"</f>
        <v>玉林师范学院物理学</v>
      </c>
      <c r="I69" s="5" t="str">
        <f>"物理学"</f>
        <v>物理学</v>
      </c>
      <c r="J69" s="5" t="str">
        <f t="shared" si="57"/>
        <v>本科学士</v>
      </c>
      <c r="K69" s="5" t="str">
        <f>"2017.06.01"</f>
        <v>2017.06.01</v>
      </c>
      <c r="L69" s="5" t="str">
        <f t="shared" si="19"/>
        <v>初中</v>
      </c>
      <c r="M69" s="5" t="str">
        <f t="shared" si="63"/>
        <v>210:物理</v>
      </c>
      <c r="N69" s="8">
        <v>24.5</v>
      </c>
      <c r="O69" s="9">
        <v>40.6</v>
      </c>
      <c r="P69" s="8">
        <f t="shared" si="60"/>
        <v>65.099999999999994</v>
      </c>
      <c r="Q69" s="8">
        <v>9</v>
      </c>
    </row>
    <row r="70" spans="1:18" ht="29.25" customHeight="1">
      <c r="A70" s="5">
        <v>68</v>
      </c>
      <c r="B70" s="5" t="str">
        <f>"封敏先"</f>
        <v>封敏先</v>
      </c>
      <c r="C70" s="5" t="str">
        <f t="shared" si="65"/>
        <v xml:space="preserve">男        </v>
      </c>
      <c r="D70" s="5" t="str">
        <f t="shared" si="16"/>
        <v>汉族</v>
      </c>
      <c r="E70" s="5" t="str">
        <f t="shared" si="66"/>
        <v>容县</v>
      </c>
      <c r="F70" s="5" t="str">
        <f>"1989年04月"</f>
        <v>1989年04月</v>
      </c>
      <c r="G70" s="5" t="str">
        <f>"群众"</f>
        <v>群众</v>
      </c>
      <c r="H70" s="5" t="str">
        <f>"玉林师范学院物理学"</f>
        <v>玉林师范学院物理学</v>
      </c>
      <c r="I70" s="5" t="str">
        <f>"物理学"</f>
        <v>物理学</v>
      </c>
      <c r="J70" s="5" t="str">
        <f t="shared" si="57"/>
        <v>本科学士</v>
      </c>
      <c r="K70" s="5" t="str">
        <f>"2014.06.01"</f>
        <v>2014.06.01</v>
      </c>
      <c r="L70" s="5" t="str">
        <f t="shared" si="19"/>
        <v>初中</v>
      </c>
      <c r="M70" s="5" t="str">
        <f t="shared" si="63"/>
        <v>210:物理</v>
      </c>
      <c r="N70" s="8">
        <v>18.5</v>
      </c>
      <c r="O70" s="9">
        <v>43.67</v>
      </c>
      <c r="P70" s="8">
        <f t="shared" si="60"/>
        <v>62.17</v>
      </c>
      <c r="Q70" s="8">
        <v>10</v>
      </c>
      <c r="R70" s="10"/>
    </row>
    <row r="71" spans="1:18" s="10" customFormat="1" ht="29.25" customHeight="1">
      <c r="A71" s="5">
        <v>69</v>
      </c>
      <c r="B71" s="17" t="str">
        <f>"李海兰"</f>
        <v>李海兰</v>
      </c>
      <c r="C71" s="17" t="str">
        <f t="shared" ref="C71:C75" si="67">"女        "</f>
        <v xml:space="preserve">女        </v>
      </c>
      <c r="D71" s="17" t="str">
        <f t="shared" si="16"/>
        <v>汉族</v>
      </c>
      <c r="E71" s="17" t="str">
        <f t="shared" si="66"/>
        <v>容县</v>
      </c>
      <c r="F71" s="17" t="str">
        <f>"1993年10月"</f>
        <v>1993年10月</v>
      </c>
      <c r="G71" s="17" t="str">
        <f t="shared" ref="G71:G72" si="68">"中共党员"</f>
        <v>中共党员</v>
      </c>
      <c r="H71" s="17" t="str">
        <f>"广西民族师范学院化学教育"</f>
        <v>广西民族师范学院化学教育</v>
      </c>
      <c r="I71" s="17" t="str">
        <f>"化学教育"</f>
        <v>化学教育</v>
      </c>
      <c r="J71" s="17" t="str">
        <f t="shared" si="57"/>
        <v>本科学士</v>
      </c>
      <c r="K71" s="17" t="str">
        <f t="shared" ref="K71:K75" si="69">"2017.06.01"</f>
        <v>2017.06.01</v>
      </c>
      <c r="L71" s="17" t="str">
        <f t="shared" si="19"/>
        <v>初中</v>
      </c>
      <c r="M71" s="17" t="str">
        <f t="shared" ref="M71:M77" si="70">"211:化学"</f>
        <v>211:化学</v>
      </c>
      <c r="N71" s="9">
        <v>28</v>
      </c>
      <c r="O71" s="9">
        <v>51</v>
      </c>
      <c r="P71" s="9">
        <f t="shared" si="60"/>
        <v>79</v>
      </c>
      <c r="Q71" s="9">
        <v>2</v>
      </c>
      <c r="R71"/>
    </row>
    <row r="72" spans="1:18" ht="29.25" customHeight="1">
      <c r="A72" s="5">
        <v>70</v>
      </c>
      <c r="B72" s="17" t="str">
        <f>"李娟婵"</f>
        <v>李娟婵</v>
      </c>
      <c r="C72" s="17" t="str">
        <f t="shared" si="67"/>
        <v xml:space="preserve">女        </v>
      </c>
      <c r="D72" s="17" t="str">
        <f t="shared" si="16"/>
        <v>汉族</v>
      </c>
      <c r="E72" s="17" t="str">
        <f>"岑溪市"</f>
        <v>岑溪市</v>
      </c>
      <c r="F72" s="17" t="str">
        <f>"1988年09月"</f>
        <v>1988年09月</v>
      </c>
      <c r="G72" s="17" t="str">
        <f t="shared" si="68"/>
        <v>中共党员</v>
      </c>
      <c r="H72" s="17" t="str">
        <f>"河池学院化学"</f>
        <v>河池学院化学</v>
      </c>
      <c r="I72" s="17" t="str">
        <f t="shared" ref="I72:I73" si="71">"化学"</f>
        <v>化学</v>
      </c>
      <c r="J72" s="17" t="str">
        <f t="shared" si="57"/>
        <v>本科学士</v>
      </c>
      <c r="K72" s="17" t="str">
        <f>"2013.06.01"</f>
        <v>2013.06.01</v>
      </c>
      <c r="L72" s="17" t="str">
        <f t="shared" si="19"/>
        <v>初中</v>
      </c>
      <c r="M72" s="17" t="str">
        <f t="shared" si="70"/>
        <v>211:化学</v>
      </c>
      <c r="N72" s="9">
        <v>27</v>
      </c>
      <c r="O72" s="9">
        <v>50.6</v>
      </c>
      <c r="P72" s="9">
        <f t="shared" si="60"/>
        <v>77.599999999999994</v>
      </c>
      <c r="Q72" s="9">
        <v>3</v>
      </c>
    </row>
    <row r="73" spans="1:18" ht="29.25" customHeight="1">
      <c r="A73" s="5">
        <v>71</v>
      </c>
      <c r="B73" s="17" t="str">
        <f>"梁雪玲"</f>
        <v>梁雪玲</v>
      </c>
      <c r="C73" s="17" t="str">
        <f t="shared" si="67"/>
        <v xml:space="preserve">女        </v>
      </c>
      <c r="D73" s="17" t="str">
        <f t="shared" ref="D73:D93" si="72">"汉族"</f>
        <v>汉族</v>
      </c>
      <c r="E73" s="17" t="str">
        <f t="shared" ref="E73:E79" si="73">"容县"</f>
        <v>容县</v>
      </c>
      <c r="F73" s="17" t="str">
        <f>"1995年05月"</f>
        <v>1995年05月</v>
      </c>
      <c r="G73" s="17" t="str">
        <f t="shared" ref="G73:G83" si="74">"共青团员"</f>
        <v>共青团员</v>
      </c>
      <c r="H73" s="17" t="str">
        <f>"百色学院化学"</f>
        <v>百色学院化学</v>
      </c>
      <c r="I73" s="17" t="str">
        <f t="shared" si="71"/>
        <v>化学</v>
      </c>
      <c r="J73" s="17" t="str">
        <f t="shared" si="57"/>
        <v>本科学士</v>
      </c>
      <c r="K73" s="17" t="str">
        <f t="shared" ref="K73:K78" si="75">"2017.07.01"</f>
        <v>2017.07.01</v>
      </c>
      <c r="L73" s="17" t="str">
        <f t="shared" ref="L73:L91" si="76">"初中"</f>
        <v>初中</v>
      </c>
      <c r="M73" s="17" t="str">
        <f t="shared" si="70"/>
        <v>211:化学</v>
      </c>
      <c r="N73" s="9">
        <v>26.5</v>
      </c>
      <c r="O73" s="9">
        <v>47.63</v>
      </c>
      <c r="P73" s="9">
        <f t="shared" si="60"/>
        <v>74.13</v>
      </c>
      <c r="Q73" s="9">
        <v>4</v>
      </c>
    </row>
    <row r="74" spans="1:18" ht="29.25" customHeight="1">
      <c r="A74" s="5">
        <v>72</v>
      </c>
      <c r="B74" s="17" t="str">
        <f>"陈月妙"</f>
        <v>陈月妙</v>
      </c>
      <c r="C74" s="17" t="str">
        <f t="shared" si="67"/>
        <v xml:space="preserve">女        </v>
      </c>
      <c r="D74" s="17" t="str">
        <f t="shared" si="72"/>
        <v>汉族</v>
      </c>
      <c r="E74" s="17" t="str">
        <f t="shared" si="73"/>
        <v>容县</v>
      </c>
      <c r="F74" s="17" t="str">
        <f>"1994年07月"</f>
        <v>1994年07月</v>
      </c>
      <c r="G74" s="17" t="str">
        <f>"中共党员"</f>
        <v>中共党员</v>
      </c>
      <c r="H74" s="17" t="str">
        <f>"广西民族师范学院化学教育"</f>
        <v>广西民族师范学院化学教育</v>
      </c>
      <c r="I74" s="17" t="str">
        <f>"化学教育"</f>
        <v>化学教育</v>
      </c>
      <c r="J74" s="17" t="str">
        <f t="shared" si="57"/>
        <v>本科学士</v>
      </c>
      <c r="K74" s="17" t="str">
        <f t="shared" si="69"/>
        <v>2017.06.01</v>
      </c>
      <c r="L74" s="17" t="str">
        <f t="shared" si="76"/>
        <v>初中</v>
      </c>
      <c r="M74" s="17" t="str">
        <f t="shared" si="70"/>
        <v>211:化学</v>
      </c>
      <c r="N74" s="9">
        <v>27</v>
      </c>
      <c r="O74" s="9">
        <v>47</v>
      </c>
      <c r="P74" s="9">
        <f t="shared" si="60"/>
        <v>74</v>
      </c>
      <c r="Q74" s="9">
        <v>5</v>
      </c>
    </row>
    <row r="75" spans="1:18" ht="29.25" customHeight="1">
      <c r="A75" s="5">
        <v>73</v>
      </c>
      <c r="B75" s="17" t="str">
        <f>"邱玉琴"</f>
        <v>邱玉琴</v>
      </c>
      <c r="C75" s="17" t="str">
        <f t="shared" si="67"/>
        <v xml:space="preserve">女        </v>
      </c>
      <c r="D75" s="17" t="str">
        <f t="shared" si="72"/>
        <v>汉族</v>
      </c>
      <c r="E75" s="17" t="str">
        <f t="shared" si="73"/>
        <v>容县</v>
      </c>
      <c r="F75" s="17" t="str">
        <f>"1994年12月"</f>
        <v>1994年12月</v>
      </c>
      <c r="G75" s="17" t="str">
        <f t="shared" si="74"/>
        <v>共青团员</v>
      </c>
      <c r="H75" s="17" t="str">
        <f>"广西民族大学应用化学"</f>
        <v>广西民族大学应用化学</v>
      </c>
      <c r="I75" s="17" t="str">
        <f>"应用化学"</f>
        <v>应用化学</v>
      </c>
      <c r="J75" s="17" t="str">
        <f t="shared" si="57"/>
        <v>本科学士</v>
      </c>
      <c r="K75" s="17" t="str">
        <f t="shared" si="69"/>
        <v>2017.06.01</v>
      </c>
      <c r="L75" s="17" t="str">
        <f t="shared" si="76"/>
        <v>初中</v>
      </c>
      <c r="M75" s="17" t="str">
        <f t="shared" si="70"/>
        <v>211:化学</v>
      </c>
      <c r="N75" s="9">
        <v>19</v>
      </c>
      <c r="O75" s="9">
        <v>51.67</v>
      </c>
      <c r="P75" s="9">
        <f t="shared" si="60"/>
        <v>70.67</v>
      </c>
      <c r="Q75" s="9">
        <v>6</v>
      </c>
    </row>
    <row r="76" spans="1:18" ht="29.25" customHeight="1">
      <c r="A76" s="5">
        <v>74</v>
      </c>
      <c r="B76" s="17" t="str">
        <f>"陆远树"</f>
        <v>陆远树</v>
      </c>
      <c r="C76" s="17" t="str">
        <f t="shared" ref="C76:C82" si="77">"男        "</f>
        <v xml:space="preserve">男        </v>
      </c>
      <c r="D76" s="17" t="str">
        <f t="shared" si="72"/>
        <v>汉族</v>
      </c>
      <c r="E76" s="17" t="str">
        <f t="shared" si="73"/>
        <v>容县</v>
      </c>
      <c r="F76" s="17" t="str">
        <f>"1991年11月"</f>
        <v>1991年11月</v>
      </c>
      <c r="G76" s="17" t="str">
        <f t="shared" si="74"/>
        <v>共青团员</v>
      </c>
      <c r="H76" s="17" t="str">
        <f>"贺州学院化学"</f>
        <v>贺州学院化学</v>
      </c>
      <c r="I76" s="17" t="str">
        <f>"化学"</f>
        <v>化学</v>
      </c>
      <c r="J76" s="17" t="str">
        <f t="shared" si="57"/>
        <v>本科学士</v>
      </c>
      <c r="K76" s="17" t="str">
        <f>"2015.07.01"</f>
        <v>2015.07.01</v>
      </c>
      <c r="L76" s="17" t="str">
        <f t="shared" si="76"/>
        <v>初中</v>
      </c>
      <c r="M76" s="17" t="str">
        <f t="shared" si="70"/>
        <v>211:化学</v>
      </c>
      <c r="N76" s="9">
        <v>18</v>
      </c>
      <c r="O76" s="9">
        <v>49.33</v>
      </c>
      <c r="P76" s="9">
        <f t="shared" si="60"/>
        <v>67.33</v>
      </c>
      <c r="Q76" s="9">
        <v>7</v>
      </c>
    </row>
    <row r="77" spans="1:18" ht="29.25" customHeight="1">
      <c r="A77" s="5">
        <v>75</v>
      </c>
      <c r="B77" s="17" t="str">
        <f>"梁曼玲"</f>
        <v>梁曼玲</v>
      </c>
      <c r="C77" s="17" t="str">
        <f t="shared" ref="C77:C79" si="78">"女        "</f>
        <v xml:space="preserve">女        </v>
      </c>
      <c r="D77" s="17" t="str">
        <f t="shared" si="72"/>
        <v>汉族</v>
      </c>
      <c r="E77" s="17" t="str">
        <f t="shared" si="73"/>
        <v>容县</v>
      </c>
      <c r="F77" s="17" t="str">
        <f>"1993年02月"</f>
        <v>1993年02月</v>
      </c>
      <c r="G77" s="17" t="str">
        <f t="shared" si="74"/>
        <v>共青团员</v>
      </c>
      <c r="H77" s="17" t="str">
        <f>"广西科技大学应用化学"</f>
        <v>广西科技大学应用化学</v>
      </c>
      <c r="I77" s="17" t="str">
        <f>"应用化学"</f>
        <v>应用化学</v>
      </c>
      <c r="J77" s="17" t="str">
        <f t="shared" si="57"/>
        <v>本科学士</v>
      </c>
      <c r="K77" s="17" t="str">
        <f t="shared" si="75"/>
        <v>2017.07.01</v>
      </c>
      <c r="L77" s="17" t="str">
        <f t="shared" si="76"/>
        <v>初中</v>
      </c>
      <c r="M77" s="17" t="str">
        <f t="shared" si="70"/>
        <v>211:化学</v>
      </c>
      <c r="N77" s="9">
        <v>19</v>
      </c>
      <c r="O77" s="9">
        <v>44.33</v>
      </c>
      <c r="P77" s="9">
        <f t="shared" si="60"/>
        <v>63.33</v>
      </c>
      <c r="Q77" s="9">
        <v>8</v>
      </c>
    </row>
    <row r="78" spans="1:18" ht="29.25" customHeight="1">
      <c r="A78" s="5">
        <v>76</v>
      </c>
      <c r="B78" s="5" t="str">
        <f>"林欣"</f>
        <v>林欣</v>
      </c>
      <c r="C78" s="5" t="str">
        <f t="shared" si="78"/>
        <v xml:space="preserve">女        </v>
      </c>
      <c r="D78" s="5" t="str">
        <f t="shared" si="72"/>
        <v>汉族</v>
      </c>
      <c r="E78" s="5" t="str">
        <f t="shared" si="73"/>
        <v>容县</v>
      </c>
      <c r="F78" s="5" t="str">
        <f>"1993年12月"</f>
        <v>1993年12月</v>
      </c>
      <c r="G78" s="5" t="str">
        <f t="shared" si="74"/>
        <v>共青团员</v>
      </c>
      <c r="H78" s="5" t="str">
        <f>"广西民族大学体育教育"</f>
        <v>广西民族大学体育教育</v>
      </c>
      <c r="I78" s="5" t="str">
        <f t="shared" ref="I78:I82" si="79">"体育教育"</f>
        <v>体育教育</v>
      </c>
      <c r="J78" s="5" t="str">
        <f t="shared" si="57"/>
        <v>本科学士</v>
      </c>
      <c r="K78" s="5" t="str">
        <f t="shared" si="75"/>
        <v>2017.07.01</v>
      </c>
      <c r="L78" s="5" t="str">
        <f t="shared" si="76"/>
        <v>初中</v>
      </c>
      <c r="M78" s="5" t="str">
        <f t="shared" ref="M78:M82" si="80">"212:体育"</f>
        <v>212:体育</v>
      </c>
      <c r="N78" s="8">
        <v>27.5</v>
      </c>
      <c r="O78" s="9">
        <v>45.93</v>
      </c>
      <c r="P78" s="9">
        <f t="shared" si="60"/>
        <v>73.430000000000007</v>
      </c>
      <c r="Q78" s="9">
        <v>1</v>
      </c>
    </row>
    <row r="79" spans="1:18" ht="29.25" customHeight="1">
      <c r="A79" s="5">
        <v>77</v>
      </c>
      <c r="B79" s="5" t="str">
        <f>"刘妙"</f>
        <v>刘妙</v>
      </c>
      <c r="C79" s="5" t="str">
        <f t="shared" si="78"/>
        <v xml:space="preserve">女        </v>
      </c>
      <c r="D79" s="5" t="str">
        <f t="shared" si="72"/>
        <v>汉族</v>
      </c>
      <c r="E79" s="5" t="str">
        <f t="shared" si="73"/>
        <v>容县</v>
      </c>
      <c r="F79" s="5" t="str">
        <f>"1994年01月"</f>
        <v>1994年01月</v>
      </c>
      <c r="G79" s="5" t="str">
        <f t="shared" si="74"/>
        <v>共青团员</v>
      </c>
      <c r="H79" s="5" t="str">
        <f>"北方民族大学体育教育"</f>
        <v>北方民族大学体育教育</v>
      </c>
      <c r="I79" s="5" t="str">
        <f t="shared" si="79"/>
        <v>体育教育</v>
      </c>
      <c r="J79" s="5" t="str">
        <f t="shared" si="57"/>
        <v>本科学士</v>
      </c>
      <c r="K79" s="5" t="str">
        <f t="shared" ref="K79:K83" si="81">"2017.06.01"</f>
        <v>2017.06.01</v>
      </c>
      <c r="L79" s="5" t="str">
        <f t="shared" si="76"/>
        <v>初中</v>
      </c>
      <c r="M79" s="5" t="str">
        <f t="shared" si="80"/>
        <v>212:体育</v>
      </c>
      <c r="N79" s="8">
        <v>23</v>
      </c>
      <c r="O79" s="9">
        <v>44.5</v>
      </c>
      <c r="P79" s="9">
        <f t="shared" si="60"/>
        <v>67.5</v>
      </c>
      <c r="Q79" s="9">
        <v>2</v>
      </c>
    </row>
    <row r="80" spans="1:18" ht="29.25" customHeight="1">
      <c r="A80" s="5">
        <v>78</v>
      </c>
      <c r="B80" s="5" t="str">
        <f>"黄希"</f>
        <v>黄希</v>
      </c>
      <c r="C80" s="5" t="str">
        <f t="shared" si="77"/>
        <v xml:space="preserve">男        </v>
      </c>
      <c r="D80" s="5" t="str">
        <f t="shared" si="72"/>
        <v>汉族</v>
      </c>
      <c r="E80" s="5" t="s">
        <v>17</v>
      </c>
      <c r="F80" s="5" t="str">
        <f>"1993年06月"</f>
        <v>1993年06月</v>
      </c>
      <c r="G80" s="5" t="str">
        <f t="shared" si="74"/>
        <v>共青团员</v>
      </c>
      <c r="H80" s="5" t="str">
        <f>"武汉体育学院体育教育"</f>
        <v>武汉体育学院体育教育</v>
      </c>
      <c r="I80" s="5" t="str">
        <f t="shared" si="79"/>
        <v>体育教育</v>
      </c>
      <c r="J80" s="5" t="str">
        <f t="shared" si="57"/>
        <v>本科学士</v>
      </c>
      <c r="K80" s="5" t="str">
        <f>"2017.07.01"</f>
        <v>2017.07.01</v>
      </c>
      <c r="L80" s="5" t="str">
        <f t="shared" si="76"/>
        <v>初中</v>
      </c>
      <c r="M80" s="5" t="str">
        <f t="shared" si="80"/>
        <v>212:体育</v>
      </c>
      <c r="N80" s="8">
        <v>22</v>
      </c>
      <c r="O80" s="9">
        <v>44.77</v>
      </c>
      <c r="P80" s="9">
        <f t="shared" si="60"/>
        <v>66.77000000000001</v>
      </c>
      <c r="Q80" s="9">
        <v>3</v>
      </c>
    </row>
    <row r="81" spans="1:18" ht="29.25" customHeight="1">
      <c r="A81" s="5">
        <v>79</v>
      </c>
      <c r="B81" s="5" t="str">
        <f>"伍江林"</f>
        <v>伍江林</v>
      </c>
      <c r="C81" s="5" t="str">
        <f t="shared" si="77"/>
        <v xml:space="preserve">男        </v>
      </c>
      <c r="D81" s="5" t="str">
        <f t="shared" si="72"/>
        <v>汉族</v>
      </c>
      <c r="E81" s="5" t="str">
        <f t="shared" ref="E81:E90" si="82">"容县"</f>
        <v>容县</v>
      </c>
      <c r="F81" s="5" t="str">
        <f>"1992年08月"</f>
        <v>1992年08月</v>
      </c>
      <c r="G81" s="5" t="str">
        <f t="shared" si="74"/>
        <v>共青团员</v>
      </c>
      <c r="H81" s="5" t="str">
        <f>"广西师范学院体育教育"</f>
        <v>广西师范学院体育教育</v>
      </c>
      <c r="I81" s="5" t="str">
        <f t="shared" si="79"/>
        <v>体育教育</v>
      </c>
      <c r="J81" s="5" t="str">
        <f t="shared" si="57"/>
        <v>本科学士</v>
      </c>
      <c r="K81" s="5" t="str">
        <f>"2016.06.01"</f>
        <v>2016.06.01</v>
      </c>
      <c r="L81" s="5" t="str">
        <f t="shared" si="76"/>
        <v>初中</v>
      </c>
      <c r="M81" s="5" t="str">
        <f t="shared" si="80"/>
        <v>212:体育</v>
      </c>
      <c r="N81" s="8">
        <v>24</v>
      </c>
      <c r="O81" s="9">
        <v>42.67</v>
      </c>
      <c r="P81" s="9">
        <f t="shared" si="60"/>
        <v>66.67</v>
      </c>
      <c r="Q81" s="9">
        <v>4</v>
      </c>
      <c r="R81" s="10"/>
    </row>
    <row r="82" spans="1:18" s="10" customFormat="1" ht="29.25" customHeight="1">
      <c r="A82" s="5">
        <v>80</v>
      </c>
      <c r="B82" s="5" t="str">
        <f>"封鸿辉"</f>
        <v>封鸿辉</v>
      </c>
      <c r="C82" s="5" t="str">
        <f t="shared" si="77"/>
        <v xml:space="preserve">男        </v>
      </c>
      <c r="D82" s="5" t="str">
        <f t="shared" si="72"/>
        <v>汉族</v>
      </c>
      <c r="E82" s="5" t="str">
        <f t="shared" si="82"/>
        <v>容县</v>
      </c>
      <c r="F82" s="5" t="str">
        <f>"1993年03月"</f>
        <v>1993年03月</v>
      </c>
      <c r="G82" s="5" t="str">
        <f t="shared" si="74"/>
        <v>共青团员</v>
      </c>
      <c r="H82" s="5" t="str">
        <f>"广西民族大学体育教育"</f>
        <v>广西民族大学体育教育</v>
      </c>
      <c r="I82" s="5" t="str">
        <f t="shared" si="79"/>
        <v>体育教育</v>
      </c>
      <c r="J82" s="5" t="str">
        <f t="shared" si="57"/>
        <v>本科学士</v>
      </c>
      <c r="K82" s="5" t="str">
        <f t="shared" si="81"/>
        <v>2017.06.01</v>
      </c>
      <c r="L82" s="5" t="str">
        <f t="shared" si="76"/>
        <v>初中</v>
      </c>
      <c r="M82" s="5" t="str">
        <f t="shared" si="80"/>
        <v>212:体育</v>
      </c>
      <c r="N82" s="8">
        <v>27</v>
      </c>
      <c r="O82" s="9">
        <v>39.5</v>
      </c>
      <c r="P82" s="9">
        <f t="shared" si="60"/>
        <v>66.5</v>
      </c>
      <c r="Q82" s="9">
        <v>5</v>
      </c>
      <c r="R82"/>
    </row>
    <row r="83" spans="1:18" ht="29.25" customHeight="1">
      <c r="A83" s="5">
        <v>81</v>
      </c>
      <c r="B83" s="5" t="str">
        <f>"李雨苑"</f>
        <v>李雨苑</v>
      </c>
      <c r="C83" s="5" t="str">
        <f t="shared" ref="C83:C86" si="83">"女        "</f>
        <v xml:space="preserve">女        </v>
      </c>
      <c r="D83" s="5" t="str">
        <f t="shared" si="72"/>
        <v>汉族</v>
      </c>
      <c r="E83" s="5" t="str">
        <f>"北流"</f>
        <v>北流</v>
      </c>
      <c r="F83" s="5" t="str">
        <f>"1995年02月"</f>
        <v>1995年02月</v>
      </c>
      <c r="G83" s="5" t="str">
        <f t="shared" si="74"/>
        <v>共青团员</v>
      </c>
      <c r="H83" s="5" t="str">
        <f>"湖北科技学院音乐教育"</f>
        <v>湖北科技学院音乐教育</v>
      </c>
      <c r="I83" s="5" t="str">
        <f>"音乐教育"</f>
        <v>音乐教育</v>
      </c>
      <c r="J83" s="5" t="str">
        <f t="shared" si="57"/>
        <v>本科学士</v>
      </c>
      <c r="K83" s="5" t="str">
        <f t="shared" si="81"/>
        <v>2017.06.01</v>
      </c>
      <c r="L83" s="5" t="str">
        <f t="shared" si="76"/>
        <v>初中</v>
      </c>
      <c r="M83" s="5" t="str">
        <f t="shared" ref="M83:M90" si="84">"213:音乐"</f>
        <v>213:音乐</v>
      </c>
      <c r="N83" s="8">
        <v>26</v>
      </c>
      <c r="O83" s="9">
        <v>49.6</v>
      </c>
      <c r="P83" s="9">
        <f t="shared" si="60"/>
        <v>75.599999999999994</v>
      </c>
      <c r="Q83" s="8">
        <v>1</v>
      </c>
    </row>
    <row r="84" spans="1:18" ht="29.25" customHeight="1">
      <c r="A84" s="5">
        <v>82</v>
      </c>
      <c r="B84" s="5" t="str">
        <f>"李小宁"</f>
        <v>李小宁</v>
      </c>
      <c r="C84" s="5" t="str">
        <f t="shared" si="83"/>
        <v xml:space="preserve">女        </v>
      </c>
      <c r="D84" s="5" t="str">
        <f t="shared" si="72"/>
        <v>汉族</v>
      </c>
      <c r="E84" s="5" t="str">
        <f t="shared" si="82"/>
        <v>容县</v>
      </c>
      <c r="F84" s="5" t="str">
        <f>"1993年07月"</f>
        <v>1993年07月</v>
      </c>
      <c r="G84" s="5" t="str">
        <f>"中共党员"</f>
        <v>中共党员</v>
      </c>
      <c r="H84" s="5" t="str">
        <f>"玉林师范学院音乐学"</f>
        <v>玉林师范学院音乐学</v>
      </c>
      <c r="I84" s="5" t="str">
        <f t="shared" ref="I84:I90" si="85">"音乐学"</f>
        <v>音乐学</v>
      </c>
      <c r="J84" s="5" t="str">
        <f t="shared" si="57"/>
        <v>本科学士</v>
      </c>
      <c r="K84" s="5" t="str">
        <f>"2016.06.01"</f>
        <v>2016.06.01</v>
      </c>
      <c r="L84" s="5" t="str">
        <f t="shared" si="76"/>
        <v>初中</v>
      </c>
      <c r="M84" s="5" t="str">
        <f t="shared" si="84"/>
        <v>213:音乐</v>
      </c>
      <c r="N84" s="8">
        <v>28</v>
      </c>
      <c r="O84" s="9">
        <v>46.67</v>
      </c>
      <c r="P84" s="9">
        <f t="shared" si="60"/>
        <v>74.67</v>
      </c>
      <c r="Q84" s="8">
        <v>2</v>
      </c>
    </row>
    <row r="85" spans="1:18" ht="29.25" customHeight="1">
      <c r="A85" s="5">
        <v>83</v>
      </c>
      <c r="B85" s="5" t="str">
        <f>"梁敏"</f>
        <v>梁敏</v>
      </c>
      <c r="C85" s="5" t="str">
        <f t="shared" si="83"/>
        <v xml:space="preserve">女        </v>
      </c>
      <c r="D85" s="5" t="str">
        <f t="shared" si="72"/>
        <v>汉族</v>
      </c>
      <c r="E85" s="5" t="str">
        <f t="shared" si="82"/>
        <v>容县</v>
      </c>
      <c r="F85" s="5" t="str">
        <f>"1992年06月"</f>
        <v>1992年06月</v>
      </c>
      <c r="G85" s="5" t="str">
        <f t="shared" ref="G85:G92" si="86">"共青团员"</f>
        <v>共青团员</v>
      </c>
      <c r="H85" s="5" t="str">
        <f>"闽江学院音乐学"</f>
        <v>闽江学院音乐学</v>
      </c>
      <c r="I85" s="5" t="str">
        <f t="shared" si="85"/>
        <v>音乐学</v>
      </c>
      <c r="J85" s="5" t="str">
        <f t="shared" si="57"/>
        <v>本科学士</v>
      </c>
      <c r="K85" s="5" t="str">
        <f t="shared" ref="K85:K87" si="87">"2017.06.01"</f>
        <v>2017.06.01</v>
      </c>
      <c r="L85" s="5" t="str">
        <f t="shared" si="76"/>
        <v>初中</v>
      </c>
      <c r="M85" s="5" t="str">
        <f t="shared" si="84"/>
        <v>213:音乐</v>
      </c>
      <c r="N85" s="8">
        <v>26</v>
      </c>
      <c r="O85" s="9">
        <v>48.17</v>
      </c>
      <c r="P85" s="9">
        <f t="shared" si="60"/>
        <v>74.17</v>
      </c>
      <c r="Q85" s="8">
        <v>3</v>
      </c>
    </row>
    <row r="86" spans="1:18" ht="29.25" customHeight="1">
      <c r="A86" s="5">
        <v>84</v>
      </c>
      <c r="B86" s="5" t="str">
        <f>"杜莹"</f>
        <v>杜莹</v>
      </c>
      <c r="C86" s="5" t="str">
        <f t="shared" si="83"/>
        <v xml:space="preserve">女        </v>
      </c>
      <c r="D86" s="5" t="str">
        <f t="shared" si="72"/>
        <v>汉族</v>
      </c>
      <c r="E86" s="5" t="str">
        <f t="shared" si="82"/>
        <v>容县</v>
      </c>
      <c r="F86" s="5" t="str">
        <f>"1993年02月"</f>
        <v>1993年02月</v>
      </c>
      <c r="G86" s="5" t="str">
        <f t="shared" si="86"/>
        <v>共青团员</v>
      </c>
      <c r="H86" s="5" t="str">
        <f>"贵州师范大学舞蹈学"</f>
        <v>贵州师范大学舞蹈学</v>
      </c>
      <c r="I86" s="5" t="str">
        <f>"舞蹈学"</f>
        <v>舞蹈学</v>
      </c>
      <c r="J86" s="5" t="str">
        <f t="shared" si="57"/>
        <v>本科学士</v>
      </c>
      <c r="K86" s="5" t="str">
        <f t="shared" si="87"/>
        <v>2017.06.01</v>
      </c>
      <c r="L86" s="5" t="str">
        <f t="shared" si="76"/>
        <v>初中</v>
      </c>
      <c r="M86" s="5" t="str">
        <f t="shared" si="84"/>
        <v>213:音乐</v>
      </c>
      <c r="N86" s="8">
        <v>24</v>
      </c>
      <c r="O86" s="9">
        <v>48.5</v>
      </c>
      <c r="P86" s="9">
        <f t="shared" si="60"/>
        <v>72.5</v>
      </c>
      <c r="Q86" s="8">
        <v>4</v>
      </c>
      <c r="R86" s="10"/>
    </row>
    <row r="87" spans="1:18" s="10" customFormat="1" ht="29.25" customHeight="1">
      <c r="A87" s="5">
        <v>85</v>
      </c>
      <c r="B87" s="5" t="str">
        <f>"黄剑锋"</f>
        <v>黄剑锋</v>
      </c>
      <c r="C87" s="5" t="str">
        <f>"男        "</f>
        <v xml:space="preserve">男        </v>
      </c>
      <c r="D87" s="5" t="str">
        <f t="shared" si="72"/>
        <v>汉族</v>
      </c>
      <c r="E87" s="5" t="str">
        <f t="shared" si="82"/>
        <v>容县</v>
      </c>
      <c r="F87" s="5" t="str">
        <f>"1993年05月"</f>
        <v>1993年05月</v>
      </c>
      <c r="G87" s="5" t="str">
        <f t="shared" si="86"/>
        <v>共青团员</v>
      </c>
      <c r="H87" s="5" t="str">
        <f>"怀化学院音乐学"</f>
        <v>怀化学院音乐学</v>
      </c>
      <c r="I87" s="5" t="str">
        <f t="shared" si="85"/>
        <v>音乐学</v>
      </c>
      <c r="J87" s="5" t="str">
        <f t="shared" si="57"/>
        <v>本科学士</v>
      </c>
      <c r="K87" s="5" t="str">
        <f t="shared" si="87"/>
        <v>2017.06.01</v>
      </c>
      <c r="L87" s="5" t="str">
        <f t="shared" si="76"/>
        <v>初中</v>
      </c>
      <c r="M87" s="5" t="str">
        <f t="shared" si="84"/>
        <v>213:音乐</v>
      </c>
      <c r="N87" s="8">
        <v>25</v>
      </c>
      <c r="O87" s="9">
        <v>46.33</v>
      </c>
      <c r="P87" s="9">
        <f t="shared" si="60"/>
        <v>71.33</v>
      </c>
      <c r="Q87" s="8">
        <v>5</v>
      </c>
      <c r="R87"/>
    </row>
    <row r="88" spans="1:18" ht="29.25" customHeight="1">
      <c r="A88" s="5">
        <v>86</v>
      </c>
      <c r="B88" s="5" t="str">
        <f>"甘炳功"</f>
        <v>甘炳功</v>
      </c>
      <c r="C88" s="5" t="str">
        <f>"男        "</f>
        <v xml:space="preserve">男        </v>
      </c>
      <c r="D88" s="5" t="str">
        <f t="shared" si="72"/>
        <v>汉族</v>
      </c>
      <c r="E88" s="5" t="str">
        <f t="shared" si="82"/>
        <v>容县</v>
      </c>
      <c r="F88" s="5" t="str">
        <f>"1992年08月"</f>
        <v>1992年08月</v>
      </c>
      <c r="G88" s="5" t="str">
        <f t="shared" si="86"/>
        <v>共青团员</v>
      </c>
      <c r="H88" s="5" t="str">
        <f>"贵州师范大学音乐学院音乐学"</f>
        <v>贵州师范大学音乐学院音乐学</v>
      </c>
      <c r="I88" s="5" t="str">
        <f t="shared" si="85"/>
        <v>音乐学</v>
      </c>
      <c r="J88" s="5" t="str">
        <f t="shared" si="57"/>
        <v>本科学士</v>
      </c>
      <c r="K88" s="5" t="str">
        <f>"2015.06.01"</f>
        <v>2015.06.01</v>
      </c>
      <c r="L88" s="5" t="str">
        <f t="shared" si="76"/>
        <v>初中</v>
      </c>
      <c r="M88" s="5" t="str">
        <f t="shared" si="84"/>
        <v>213:音乐</v>
      </c>
      <c r="N88" s="8">
        <v>22</v>
      </c>
      <c r="O88" s="9">
        <v>45.83</v>
      </c>
      <c r="P88" s="9">
        <f t="shared" si="60"/>
        <v>67.83</v>
      </c>
      <c r="Q88" s="8">
        <v>6</v>
      </c>
      <c r="R88" s="10"/>
    </row>
    <row r="89" spans="1:18" s="10" customFormat="1" ht="29.25" customHeight="1">
      <c r="A89" s="5">
        <v>87</v>
      </c>
      <c r="B89" s="5" t="str">
        <f>"李杏秋"</f>
        <v>李杏秋</v>
      </c>
      <c r="C89" s="5" t="str">
        <f t="shared" ref="C89:C94" si="88">"女        "</f>
        <v xml:space="preserve">女        </v>
      </c>
      <c r="D89" s="5" t="str">
        <f t="shared" si="72"/>
        <v>汉族</v>
      </c>
      <c r="E89" s="5" t="str">
        <f t="shared" si="82"/>
        <v>容县</v>
      </c>
      <c r="F89" s="5" t="str">
        <f>"1995年02月"</f>
        <v>1995年02月</v>
      </c>
      <c r="G89" s="5" t="str">
        <f t="shared" si="86"/>
        <v>共青团员</v>
      </c>
      <c r="H89" s="5" t="str">
        <f>"宜春学院音乐学"</f>
        <v>宜春学院音乐学</v>
      </c>
      <c r="I89" s="5" t="str">
        <f t="shared" si="85"/>
        <v>音乐学</v>
      </c>
      <c r="J89" s="5" t="str">
        <f t="shared" si="57"/>
        <v>本科学士</v>
      </c>
      <c r="K89" s="5" t="str">
        <f t="shared" ref="K89:K92" si="89">"2017.07.01"</f>
        <v>2017.07.01</v>
      </c>
      <c r="L89" s="5" t="str">
        <f t="shared" si="76"/>
        <v>初中</v>
      </c>
      <c r="M89" s="5" t="str">
        <f t="shared" si="84"/>
        <v>213:音乐</v>
      </c>
      <c r="N89" s="8">
        <v>22</v>
      </c>
      <c r="O89" s="9">
        <v>44.9</v>
      </c>
      <c r="P89" s="9">
        <f t="shared" si="60"/>
        <v>66.900000000000006</v>
      </c>
      <c r="Q89" s="8">
        <v>7</v>
      </c>
      <c r="R89"/>
    </row>
    <row r="90" spans="1:18" ht="29.25" customHeight="1">
      <c r="A90" s="5">
        <v>88</v>
      </c>
      <c r="B90" s="5" t="str">
        <f>"吕思彤"</f>
        <v>吕思彤</v>
      </c>
      <c r="C90" s="5" t="str">
        <f t="shared" si="88"/>
        <v xml:space="preserve">女        </v>
      </c>
      <c r="D90" s="5" t="str">
        <f t="shared" si="72"/>
        <v>汉族</v>
      </c>
      <c r="E90" s="5" t="str">
        <f t="shared" si="82"/>
        <v>容县</v>
      </c>
      <c r="F90" s="5" t="str">
        <f>"1994年06月"</f>
        <v>1994年06月</v>
      </c>
      <c r="G90" s="5" t="str">
        <f t="shared" si="86"/>
        <v>共青团员</v>
      </c>
      <c r="H90" s="5" t="str">
        <f>"玉林师范学院音乐学"</f>
        <v>玉林师范学院音乐学</v>
      </c>
      <c r="I90" s="5" t="str">
        <f t="shared" si="85"/>
        <v>音乐学</v>
      </c>
      <c r="J90" s="5" t="str">
        <f t="shared" si="57"/>
        <v>本科学士</v>
      </c>
      <c r="K90" s="5" t="str">
        <f>"2017.06.01"</f>
        <v>2017.06.01</v>
      </c>
      <c r="L90" s="5" t="str">
        <f t="shared" si="76"/>
        <v>初中</v>
      </c>
      <c r="M90" s="5" t="str">
        <f t="shared" si="84"/>
        <v>213:音乐</v>
      </c>
      <c r="N90" s="8">
        <v>21</v>
      </c>
      <c r="O90" s="9">
        <v>43.3</v>
      </c>
      <c r="P90" s="9">
        <f t="shared" si="60"/>
        <v>64.3</v>
      </c>
      <c r="Q90" s="8">
        <v>8</v>
      </c>
    </row>
    <row r="91" spans="1:18" ht="29.25" customHeight="1">
      <c r="A91" s="5">
        <v>89</v>
      </c>
      <c r="B91" s="17" t="str">
        <f>"姚金凤"</f>
        <v>姚金凤</v>
      </c>
      <c r="C91" s="17" t="str">
        <f t="shared" si="88"/>
        <v xml:space="preserve">女        </v>
      </c>
      <c r="D91" s="17" t="str">
        <f t="shared" si="72"/>
        <v>汉族</v>
      </c>
      <c r="E91" s="17" t="str">
        <f>"桂平"</f>
        <v>桂平</v>
      </c>
      <c r="F91" s="17" t="str">
        <f>"1994年01月"</f>
        <v>1994年01月</v>
      </c>
      <c r="G91" s="17" t="str">
        <f t="shared" si="86"/>
        <v>共青团员</v>
      </c>
      <c r="H91" s="17" t="str">
        <f>"昆明学院美术学"</f>
        <v>昆明学院美术学</v>
      </c>
      <c r="I91" s="17" t="str">
        <f t="shared" ref="I91:I94" si="90">"美术学"</f>
        <v>美术学</v>
      </c>
      <c r="J91" s="17" t="str">
        <f t="shared" si="57"/>
        <v>本科学士</v>
      </c>
      <c r="K91" s="17" t="str">
        <f t="shared" si="89"/>
        <v>2017.07.01</v>
      </c>
      <c r="L91" s="17" t="str">
        <f t="shared" si="76"/>
        <v>初中</v>
      </c>
      <c r="M91" s="17" t="str">
        <f t="shared" ref="M91:M96" si="91">"214:美术"</f>
        <v>214:美术</v>
      </c>
      <c r="N91" s="9">
        <v>25</v>
      </c>
      <c r="O91" s="9">
        <v>51.37</v>
      </c>
      <c r="P91" s="9">
        <f t="shared" si="60"/>
        <v>76.37</v>
      </c>
      <c r="Q91" s="9">
        <v>1</v>
      </c>
    </row>
    <row r="92" spans="1:18" ht="29.25" customHeight="1">
      <c r="A92" s="5">
        <v>90</v>
      </c>
      <c r="B92" s="17" t="str">
        <f>"潘海玲"</f>
        <v>潘海玲</v>
      </c>
      <c r="C92" s="17" t="str">
        <f t="shared" si="88"/>
        <v xml:space="preserve">女        </v>
      </c>
      <c r="D92" s="17" t="str">
        <f t="shared" si="72"/>
        <v>汉族</v>
      </c>
      <c r="E92" s="17" t="str">
        <f t="shared" ref="E92:E101" si="92">"容县"</f>
        <v>容县</v>
      </c>
      <c r="F92" s="17" t="str">
        <f>"1994年06月"</f>
        <v>1994年06月</v>
      </c>
      <c r="G92" s="17" t="str">
        <f t="shared" si="86"/>
        <v>共青团员</v>
      </c>
      <c r="H92" s="17" t="str">
        <f>"广西民族师范学院美术学"</f>
        <v>广西民族师范学院美术学</v>
      </c>
      <c r="I92" s="17" t="str">
        <f t="shared" si="90"/>
        <v>美术学</v>
      </c>
      <c r="J92" s="17" t="str">
        <f t="shared" si="57"/>
        <v>本科学士</v>
      </c>
      <c r="K92" s="17" t="str">
        <f t="shared" si="89"/>
        <v>2017.07.01</v>
      </c>
      <c r="L92" s="17" t="str">
        <f t="shared" ref="L92:L108" si="93">"初中"</f>
        <v>初中</v>
      </c>
      <c r="M92" s="17" t="str">
        <f t="shared" si="91"/>
        <v>214:美术</v>
      </c>
      <c r="N92" s="9">
        <v>24</v>
      </c>
      <c r="O92" s="9">
        <v>50</v>
      </c>
      <c r="P92" s="9">
        <f t="shared" si="60"/>
        <v>74</v>
      </c>
      <c r="Q92" s="9">
        <v>2</v>
      </c>
    </row>
    <row r="93" spans="1:18" ht="29.25" customHeight="1">
      <c r="A93" s="5">
        <v>91</v>
      </c>
      <c r="B93" s="17" t="str">
        <f>"刘颖"</f>
        <v>刘颖</v>
      </c>
      <c r="C93" s="17" t="str">
        <f t="shared" si="88"/>
        <v xml:space="preserve">女        </v>
      </c>
      <c r="D93" s="17" t="str">
        <f t="shared" si="72"/>
        <v>汉族</v>
      </c>
      <c r="E93" s="17" t="str">
        <f>"河南省焦作市"</f>
        <v>河南省焦作市</v>
      </c>
      <c r="F93" s="17" t="str">
        <f>"1992年07月"</f>
        <v>1992年07月</v>
      </c>
      <c r="G93" s="17" t="str">
        <f>"群众"</f>
        <v>群众</v>
      </c>
      <c r="H93" s="17" t="str">
        <f>"贺州学院美术学"</f>
        <v>贺州学院美术学</v>
      </c>
      <c r="I93" s="17" t="str">
        <f t="shared" si="90"/>
        <v>美术学</v>
      </c>
      <c r="J93" s="17" t="str">
        <f t="shared" si="57"/>
        <v>本科学士</v>
      </c>
      <c r="K93" s="17" t="str">
        <f>"2015.06.01"</f>
        <v>2015.06.01</v>
      </c>
      <c r="L93" s="17" t="str">
        <f t="shared" si="93"/>
        <v>初中</v>
      </c>
      <c r="M93" s="17" t="str">
        <f t="shared" si="91"/>
        <v>214:美术</v>
      </c>
      <c r="N93" s="9">
        <v>21</v>
      </c>
      <c r="O93" s="9">
        <v>52.33</v>
      </c>
      <c r="P93" s="9">
        <f t="shared" si="60"/>
        <v>73.33</v>
      </c>
      <c r="Q93" s="9">
        <v>3</v>
      </c>
    </row>
    <row r="94" spans="1:18" ht="29.25" customHeight="1">
      <c r="A94" s="5">
        <v>92</v>
      </c>
      <c r="B94" s="17" t="str">
        <f>"黄榕桦"</f>
        <v>黄榕桦</v>
      </c>
      <c r="C94" s="17" t="str">
        <f t="shared" si="88"/>
        <v xml:space="preserve">女        </v>
      </c>
      <c r="D94" s="17" t="str">
        <f>"瑶族"</f>
        <v>瑶族</v>
      </c>
      <c r="E94" s="17" t="str">
        <f>"平南县"</f>
        <v>平南县</v>
      </c>
      <c r="F94" s="17" t="str">
        <f>"1994年07月"</f>
        <v>1994年07月</v>
      </c>
      <c r="G94" s="17" t="str">
        <f t="shared" ref="G94:G100" si="94">"共青团员"</f>
        <v>共青团员</v>
      </c>
      <c r="H94" s="17" t="str">
        <f>"宝鸡文理学院美术学"</f>
        <v>宝鸡文理学院美术学</v>
      </c>
      <c r="I94" s="17" t="str">
        <f t="shared" si="90"/>
        <v>美术学</v>
      </c>
      <c r="J94" s="17" t="str">
        <f t="shared" si="57"/>
        <v>本科学士</v>
      </c>
      <c r="K94" s="17" t="str">
        <f>"2017.07.01"</f>
        <v>2017.07.01</v>
      </c>
      <c r="L94" s="17" t="str">
        <f t="shared" si="93"/>
        <v>初中</v>
      </c>
      <c r="M94" s="17" t="str">
        <f t="shared" si="91"/>
        <v>214:美术</v>
      </c>
      <c r="N94" s="9">
        <v>25</v>
      </c>
      <c r="O94" s="9">
        <v>47.67</v>
      </c>
      <c r="P94" s="9">
        <f t="shared" si="60"/>
        <v>72.67</v>
      </c>
      <c r="Q94" s="9">
        <v>4</v>
      </c>
    </row>
    <row r="95" spans="1:18" ht="29.25" customHeight="1">
      <c r="A95" s="5">
        <v>93</v>
      </c>
      <c r="B95" s="17" t="str">
        <f>"张飞进"</f>
        <v>张飞进</v>
      </c>
      <c r="C95" s="17" t="str">
        <f>"男        "</f>
        <v xml:space="preserve">男        </v>
      </c>
      <c r="D95" s="17" t="str">
        <f t="shared" ref="D95:D108" si="95">"汉族"</f>
        <v>汉族</v>
      </c>
      <c r="E95" s="17" t="str">
        <f>"岑溪市"</f>
        <v>岑溪市</v>
      </c>
      <c r="F95" s="17" t="str">
        <f>"1991年08月"</f>
        <v>1991年08月</v>
      </c>
      <c r="G95" s="17" t="str">
        <f t="shared" si="94"/>
        <v>共青团员</v>
      </c>
      <c r="H95" s="17" t="str">
        <f>"哈尔滨师范大学动画"</f>
        <v>哈尔滨师范大学动画</v>
      </c>
      <c r="I95" s="17" t="str">
        <f>"动画"</f>
        <v>动画</v>
      </c>
      <c r="J95" s="17" t="str">
        <f t="shared" si="57"/>
        <v>本科学士</v>
      </c>
      <c r="K95" s="17" t="str">
        <f t="shared" ref="K95:K99" si="96">"2017.06.01"</f>
        <v>2017.06.01</v>
      </c>
      <c r="L95" s="17" t="str">
        <f t="shared" si="93"/>
        <v>初中</v>
      </c>
      <c r="M95" s="17" t="str">
        <f t="shared" si="91"/>
        <v>214:美术</v>
      </c>
      <c r="N95" s="9">
        <v>19</v>
      </c>
      <c r="O95" s="9">
        <v>45.33</v>
      </c>
      <c r="P95" s="9">
        <f t="shared" si="60"/>
        <v>64.33</v>
      </c>
      <c r="Q95" s="9">
        <v>5</v>
      </c>
    </row>
    <row r="96" spans="1:18" ht="29.25" customHeight="1">
      <c r="A96" s="5">
        <v>94</v>
      </c>
      <c r="B96" s="17" t="str">
        <f>"李嘉旺"</f>
        <v>李嘉旺</v>
      </c>
      <c r="C96" s="17" t="str">
        <f>"男        "</f>
        <v xml:space="preserve">男        </v>
      </c>
      <c r="D96" s="17" t="str">
        <f t="shared" si="95"/>
        <v>汉族</v>
      </c>
      <c r="E96" s="17" t="str">
        <f t="shared" si="92"/>
        <v>容县</v>
      </c>
      <c r="F96" s="17" t="str">
        <f>"1992年02月"</f>
        <v>1992年02月</v>
      </c>
      <c r="G96" s="17" t="str">
        <f>"群众"</f>
        <v>群众</v>
      </c>
      <c r="H96" s="17" t="str">
        <f>"广西桂林师范高等专科学校美术教育"</f>
        <v>广西桂林师范高等专科学校美术教育</v>
      </c>
      <c r="I96" s="17" t="str">
        <f>"美术教育"</f>
        <v>美术教育</v>
      </c>
      <c r="J96" s="17" t="str">
        <f>"专科无学位"</f>
        <v>专科无学位</v>
      </c>
      <c r="K96" s="17" t="str">
        <f>"2014.07.01"</f>
        <v>2014.07.01</v>
      </c>
      <c r="L96" s="17" t="str">
        <f t="shared" si="93"/>
        <v>初中</v>
      </c>
      <c r="M96" s="17" t="str">
        <f t="shared" si="91"/>
        <v>214:美术</v>
      </c>
      <c r="N96" s="9">
        <v>17</v>
      </c>
      <c r="O96" s="9">
        <v>44.67</v>
      </c>
      <c r="P96" s="9">
        <f t="shared" si="60"/>
        <v>61.67</v>
      </c>
      <c r="Q96" s="9">
        <v>6</v>
      </c>
    </row>
    <row r="97" spans="1:18" ht="29.25" customHeight="1">
      <c r="A97" s="5">
        <v>95</v>
      </c>
      <c r="B97" s="5" t="str">
        <f>"覃珊珊"</f>
        <v>覃珊珊</v>
      </c>
      <c r="C97" s="5" t="str">
        <f t="shared" ref="C97:C105" si="97">"女        "</f>
        <v xml:space="preserve">女        </v>
      </c>
      <c r="D97" s="5" t="str">
        <f t="shared" si="95"/>
        <v>汉族</v>
      </c>
      <c r="E97" s="5" t="str">
        <f t="shared" si="92"/>
        <v>容县</v>
      </c>
      <c r="F97" s="5" t="str">
        <f>"1991年01月"</f>
        <v>1991年01月</v>
      </c>
      <c r="G97" s="5" t="str">
        <f t="shared" ref="G97:G103" si="98">"中共党员"</f>
        <v>中共党员</v>
      </c>
      <c r="H97" s="5" t="str">
        <f>"广西师范大学本科计算机科学与技术研究生外国语言学及应"</f>
        <v>广西师范大学本科计算机科学与技术研究生外国语言学及应</v>
      </c>
      <c r="I97" s="5" t="str">
        <f>"本科计算机科学与技术研究生外国语言学及应"</f>
        <v>本科计算机科学与技术研究生外国语言学及应</v>
      </c>
      <c r="J97" s="5" t="str">
        <f>"研究生硕士"</f>
        <v>研究生硕士</v>
      </c>
      <c r="K97" s="5" t="str">
        <f t="shared" si="96"/>
        <v>2017.06.01</v>
      </c>
      <c r="L97" s="5" t="str">
        <f t="shared" si="93"/>
        <v>初中</v>
      </c>
      <c r="M97" s="5" t="str">
        <f t="shared" ref="M97:M100" si="99">"216:信息技术"</f>
        <v>216:信息技术</v>
      </c>
      <c r="N97" s="8">
        <v>35</v>
      </c>
      <c r="O97" s="9">
        <v>52</v>
      </c>
      <c r="P97" s="9">
        <f t="shared" si="60"/>
        <v>87</v>
      </c>
      <c r="Q97" s="9">
        <v>1</v>
      </c>
    </row>
    <row r="98" spans="1:18" ht="29.25" customHeight="1">
      <c r="A98" s="5">
        <v>96</v>
      </c>
      <c r="B98" s="5" t="str">
        <f>"卢广兰"</f>
        <v>卢广兰</v>
      </c>
      <c r="C98" s="5" t="str">
        <f t="shared" si="97"/>
        <v xml:space="preserve">女        </v>
      </c>
      <c r="D98" s="5" t="str">
        <f t="shared" si="95"/>
        <v>汉族</v>
      </c>
      <c r="E98" s="5" t="str">
        <f t="shared" si="92"/>
        <v>容县</v>
      </c>
      <c r="F98" s="5" t="str">
        <f>"1994年08月"</f>
        <v>1994年08月</v>
      </c>
      <c r="G98" s="5" t="str">
        <f t="shared" si="94"/>
        <v>共青团员</v>
      </c>
      <c r="H98" s="5" t="str">
        <f>"广西师范大学教育技术学"</f>
        <v>广西师范大学教育技术学</v>
      </c>
      <c r="I98" s="5" t="str">
        <f>"教育技术学"</f>
        <v>教育技术学</v>
      </c>
      <c r="J98" s="5" t="str">
        <f t="shared" ref="J98:J108" si="100">"本科学士"</f>
        <v>本科学士</v>
      </c>
      <c r="K98" s="5" t="str">
        <f>"2017.07.01"</f>
        <v>2017.07.01</v>
      </c>
      <c r="L98" s="5" t="str">
        <f t="shared" si="93"/>
        <v>初中</v>
      </c>
      <c r="M98" s="5" t="str">
        <f t="shared" si="99"/>
        <v>216:信息技术</v>
      </c>
      <c r="N98" s="8">
        <v>27</v>
      </c>
      <c r="O98" s="9">
        <v>54.57</v>
      </c>
      <c r="P98" s="9">
        <f t="shared" si="60"/>
        <v>81.569999999999993</v>
      </c>
      <c r="Q98" s="9">
        <v>2</v>
      </c>
    </row>
    <row r="99" spans="1:18" ht="29.25" customHeight="1">
      <c r="A99" s="5">
        <v>97</v>
      </c>
      <c r="B99" s="5" t="str">
        <f>"雷雅"</f>
        <v>雷雅</v>
      </c>
      <c r="C99" s="5" t="str">
        <f t="shared" si="97"/>
        <v xml:space="preserve">女        </v>
      </c>
      <c r="D99" s="5" t="str">
        <f t="shared" si="95"/>
        <v>汉族</v>
      </c>
      <c r="E99" s="5" t="str">
        <f t="shared" si="92"/>
        <v>容县</v>
      </c>
      <c r="F99" s="5" t="str">
        <f>"1994年11月"</f>
        <v>1994年11月</v>
      </c>
      <c r="G99" s="5" t="str">
        <f t="shared" si="94"/>
        <v>共青团员</v>
      </c>
      <c r="H99" s="5" t="str">
        <f>"广西师范大学计算机科学与技术"</f>
        <v>广西师范大学计算机科学与技术</v>
      </c>
      <c r="I99" s="5" t="str">
        <f>"计算机科学与技术"</f>
        <v>计算机科学与技术</v>
      </c>
      <c r="J99" s="5" t="str">
        <f t="shared" si="100"/>
        <v>本科学士</v>
      </c>
      <c r="K99" s="5" t="str">
        <f t="shared" si="96"/>
        <v>2017.06.01</v>
      </c>
      <c r="L99" s="5" t="str">
        <f t="shared" si="93"/>
        <v>初中</v>
      </c>
      <c r="M99" s="5" t="str">
        <f t="shared" si="99"/>
        <v>216:信息技术</v>
      </c>
      <c r="N99" s="8">
        <v>20.5</v>
      </c>
      <c r="O99" s="9">
        <v>43.33</v>
      </c>
      <c r="P99" s="9">
        <f t="shared" si="60"/>
        <v>63.83</v>
      </c>
      <c r="Q99" s="9">
        <v>3</v>
      </c>
    </row>
    <row r="100" spans="1:18" ht="29.25" customHeight="1">
      <c r="A100" s="5">
        <v>98</v>
      </c>
      <c r="B100" s="5" t="str">
        <f>"林婷"</f>
        <v>林婷</v>
      </c>
      <c r="C100" s="5" t="str">
        <f t="shared" si="97"/>
        <v xml:space="preserve">女        </v>
      </c>
      <c r="D100" s="5" t="str">
        <f t="shared" si="95"/>
        <v>汉族</v>
      </c>
      <c r="E100" s="5" t="str">
        <f t="shared" si="92"/>
        <v>容县</v>
      </c>
      <c r="F100" s="5" t="str">
        <f>"1991年01月"</f>
        <v>1991年01月</v>
      </c>
      <c r="G100" s="5" t="str">
        <f t="shared" si="94"/>
        <v>共青团员</v>
      </c>
      <c r="H100" s="5" t="str">
        <f>"广西师范学院教育技术学"</f>
        <v>广西师范学院教育技术学</v>
      </c>
      <c r="I100" s="5" t="str">
        <f>"教育技术学"</f>
        <v>教育技术学</v>
      </c>
      <c r="J100" s="5" t="str">
        <f t="shared" si="100"/>
        <v>本科学士</v>
      </c>
      <c r="K100" s="5" t="str">
        <f>"2015.06.01"</f>
        <v>2015.06.01</v>
      </c>
      <c r="L100" s="5" t="str">
        <f t="shared" si="93"/>
        <v>初中</v>
      </c>
      <c r="M100" s="5" t="str">
        <f t="shared" si="99"/>
        <v>216:信息技术</v>
      </c>
      <c r="N100" s="8">
        <v>21</v>
      </c>
      <c r="O100" s="9">
        <v>38.17</v>
      </c>
      <c r="P100" s="9">
        <f t="shared" si="60"/>
        <v>59.17</v>
      </c>
      <c r="Q100" s="9">
        <v>4</v>
      </c>
      <c r="R100" s="10"/>
    </row>
    <row r="101" spans="1:18" s="10" customFormat="1" ht="29.25" customHeight="1">
      <c r="A101" s="5">
        <v>99</v>
      </c>
      <c r="B101" s="5" t="str">
        <f>"覃华森"</f>
        <v>覃华森</v>
      </c>
      <c r="C101" s="5" t="str">
        <f t="shared" si="97"/>
        <v xml:space="preserve">女        </v>
      </c>
      <c r="D101" s="5" t="str">
        <f t="shared" si="95"/>
        <v>汉族</v>
      </c>
      <c r="E101" s="5" t="str">
        <f t="shared" si="92"/>
        <v>容县</v>
      </c>
      <c r="F101" s="5" t="str">
        <f>"1991年12月"</f>
        <v>1991年12月</v>
      </c>
      <c r="G101" s="5" t="str">
        <f t="shared" si="98"/>
        <v>中共党员</v>
      </c>
      <c r="H101" s="5" t="str">
        <f>"玉林师范学院思想政治教育"</f>
        <v>玉林师范学院思想政治教育</v>
      </c>
      <c r="I101" s="5" t="str">
        <f t="shared" ref="I101:I104" si="101">"思想政治教育"</f>
        <v>思想政治教育</v>
      </c>
      <c r="J101" s="5" t="str">
        <f t="shared" si="100"/>
        <v>本科学士</v>
      </c>
      <c r="K101" s="5" t="str">
        <f t="shared" ref="K101:K107" si="102">"2017.06.01"</f>
        <v>2017.06.01</v>
      </c>
      <c r="L101" s="5" t="str">
        <f t="shared" si="93"/>
        <v>初中</v>
      </c>
      <c r="M101" s="5" t="str">
        <f t="shared" ref="M101:M108" si="103">"299:政治"</f>
        <v>299:政治</v>
      </c>
      <c r="N101" s="8">
        <v>36</v>
      </c>
      <c r="O101" s="9">
        <v>51.33</v>
      </c>
      <c r="P101" s="9">
        <f t="shared" ref="P101:P108" si="104">N101+O101</f>
        <v>87.33</v>
      </c>
      <c r="Q101" s="9">
        <v>1</v>
      </c>
      <c r="R101"/>
    </row>
    <row r="102" spans="1:18" ht="29.25" customHeight="1">
      <c r="A102" s="5">
        <v>100</v>
      </c>
      <c r="B102" s="5" t="str">
        <f>"龙婷"</f>
        <v>龙婷</v>
      </c>
      <c r="C102" s="5" t="str">
        <f t="shared" si="97"/>
        <v xml:space="preserve">女        </v>
      </c>
      <c r="D102" s="5" t="str">
        <f t="shared" si="95"/>
        <v>汉族</v>
      </c>
      <c r="E102" s="5" t="str">
        <f>"北流市"</f>
        <v>北流市</v>
      </c>
      <c r="F102" s="5" t="str">
        <f>"1992年11月"</f>
        <v>1992年11月</v>
      </c>
      <c r="G102" s="5" t="str">
        <f t="shared" si="98"/>
        <v>中共党员</v>
      </c>
      <c r="H102" s="5" t="str">
        <f>"百色学院思想政治教育"</f>
        <v>百色学院思想政治教育</v>
      </c>
      <c r="I102" s="5" t="str">
        <f t="shared" si="101"/>
        <v>思想政治教育</v>
      </c>
      <c r="J102" s="5" t="str">
        <f t="shared" si="100"/>
        <v>本科学士</v>
      </c>
      <c r="K102" s="5" t="str">
        <f t="shared" si="102"/>
        <v>2017.06.01</v>
      </c>
      <c r="L102" s="5" t="str">
        <f t="shared" si="93"/>
        <v>初中</v>
      </c>
      <c r="M102" s="5" t="str">
        <f t="shared" si="103"/>
        <v>299:政治</v>
      </c>
      <c r="N102" s="8">
        <v>33</v>
      </c>
      <c r="O102" s="9">
        <v>51.83</v>
      </c>
      <c r="P102" s="9">
        <f t="shared" si="104"/>
        <v>84.83</v>
      </c>
      <c r="Q102" s="9">
        <v>2</v>
      </c>
    </row>
    <row r="103" spans="1:18" ht="29.25" customHeight="1">
      <c r="A103" s="5">
        <v>101</v>
      </c>
      <c r="B103" s="5" t="str">
        <f>"莫少凤"</f>
        <v>莫少凤</v>
      </c>
      <c r="C103" s="5" t="str">
        <f t="shared" si="97"/>
        <v xml:space="preserve">女        </v>
      </c>
      <c r="D103" s="5" t="str">
        <f t="shared" si="95"/>
        <v>汉族</v>
      </c>
      <c r="E103" s="5" t="str">
        <f t="shared" ref="E103:E106" si="105">"容县"</f>
        <v>容县</v>
      </c>
      <c r="F103" s="5" t="str">
        <f>"1990年09月"</f>
        <v>1990年09月</v>
      </c>
      <c r="G103" s="5" t="str">
        <f t="shared" si="98"/>
        <v>中共党员</v>
      </c>
      <c r="H103" s="5" t="str">
        <f>"广西师范学院思想政治教育"</f>
        <v>广西师范学院思想政治教育</v>
      </c>
      <c r="I103" s="5" t="str">
        <f t="shared" si="101"/>
        <v>思想政治教育</v>
      </c>
      <c r="J103" s="5" t="str">
        <f t="shared" si="100"/>
        <v>本科学士</v>
      </c>
      <c r="K103" s="5" t="str">
        <f>"2014.06.01"</f>
        <v>2014.06.01</v>
      </c>
      <c r="L103" s="5" t="str">
        <f t="shared" si="93"/>
        <v>初中</v>
      </c>
      <c r="M103" s="5" t="str">
        <f t="shared" si="103"/>
        <v>299:政治</v>
      </c>
      <c r="N103" s="8">
        <v>31</v>
      </c>
      <c r="O103" s="9">
        <v>51.67</v>
      </c>
      <c r="P103" s="9">
        <f t="shared" si="104"/>
        <v>82.67</v>
      </c>
      <c r="Q103" s="9">
        <v>3</v>
      </c>
    </row>
    <row r="104" spans="1:18" ht="29.25" customHeight="1">
      <c r="A104" s="5">
        <v>102</v>
      </c>
      <c r="B104" s="5" t="str">
        <f>"梁贵燕"</f>
        <v>梁贵燕</v>
      </c>
      <c r="C104" s="5" t="str">
        <f t="shared" si="97"/>
        <v xml:space="preserve">女        </v>
      </c>
      <c r="D104" s="5" t="str">
        <f t="shared" si="95"/>
        <v>汉族</v>
      </c>
      <c r="E104" s="5" t="str">
        <f t="shared" si="105"/>
        <v>容县</v>
      </c>
      <c r="F104" s="5" t="str">
        <f>"1993年04月"</f>
        <v>1993年04月</v>
      </c>
      <c r="G104" s="5" t="str">
        <f t="shared" ref="G104:G106" si="106">"共青团员"</f>
        <v>共青团员</v>
      </c>
      <c r="H104" s="5" t="str">
        <f>"楚雄师范学院思想政治教育"</f>
        <v>楚雄师范学院思想政治教育</v>
      </c>
      <c r="I104" s="5" t="str">
        <f t="shared" si="101"/>
        <v>思想政治教育</v>
      </c>
      <c r="J104" s="5" t="str">
        <f t="shared" si="100"/>
        <v>本科学士</v>
      </c>
      <c r="K104" s="5" t="str">
        <f>"2016.07.01"</f>
        <v>2016.07.01</v>
      </c>
      <c r="L104" s="5" t="str">
        <f t="shared" si="93"/>
        <v>初中</v>
      </c>
      <c r="M104" s="5" t="str">
        <f t="shared" si="103"/>
        <v>299:政治</v>
      </c>
      <c r="N104" s="8">
        <v>30.5</v>
      </c>
      <c r="O104" s="9">
        <v>51.17</v>
      </c>
      <c r="P104" s="9">
        <f t="shared" si="104"/>
        <v>81.67</v>
      </c>
      <c r="Q104" s="9">
        <v>4</v>
      </c>
    </row>
    <row r="105" spans="1:18" ht="29.25" customHeight="1">
      <c r="A105" s="5">
        <v>103</v>
      </c>
      <c r="B105" s="5" t="str">
        <f>"浦双红"</f>
        <v>浦双红</v>
      </c>
      <c r="C105" s="5" t="str">
        <f t="shared" si="97"/>
        <v xml:space="preserve">女        </v>
      </c>
      <c r="D105" s="5" t="str">
        <f t="shared" si="95"/>
        <v>汉族</v>
      </c>
      <c r="E105" s="5" t="str">
        <f t="shared" si="105"/>
        <v>容县</v>
      </c>
      <c r="F105" s="5" t="str">
        <f>"1993年09月"</f>
        <v>1993年09月</v>
      </c>
      <c r="G105" s="5" t="str">
        <f t="shared" si="106"/>
        <v>共青团员</v>
      </c>
      <c r="H105" s="5" t="str">
        <f>"玉林师范学院法学"</f>
        <v>玉林师范学院法学</v>
      </c>
      <c r="I105" s="5" t="str">
        <f>"法学"</f>
        <v>法学</v>
      </c>
      <c r="J105" s="5" t="str">
        <f t="shared" si="100"/>
        <v>本科学士</v>
      </c>
      <c r="K105" s="5" t="str">
        <f t="shared" si="102"/>
        <v>2017.06.01</v>
      </c>
      <c r="L105" s="5" t="str">
        <f t="shared" si="93"/>
        <v>初中</v>
      </c>
      <c r="M105" s="5" t="str">
        <f t="shared" si="103"/>
        <v>299:政治</v>
      </c>
      <c r="N105" s="8">
        <v>27.5</v>
      </c>
      <c r="O105" s="9">
        <v>50.17</v>
      </c>
      <c r="P105" s="9">
        <f t="shared" si="104"/>
        <v>77.67</v>
      </c>
      <c r="Q105" s="9">
        <v>5</v>
      </c>
    </row>
    <row r="106" spans="1:18" ht="29.25" customHeight="1">
      <c r="A106" s="5">
        <v>104</v>
      </c>
      <c r="B106" s="5" t="str">
        <f>"马超熙"</f>
        <v>马超熙</v>
      </c>
      <c r="C106" s="5" t="str">
        <f>"男        "</f>
        <v xml:space="preserve">男        </v>
      </c>
      <c r="D106" s="5" t="str">
        <f t="shared" si="95"/>
        <v>汉族</v>
      </c>
      <c r="E106" s="5" t="str">
        <f t="shared" si="105"/>
        <v>容县</v>
      </c>
      <c r="F106" s="5" t="str">
        <f>"1992年03月"</f>
        <v>1992年03月</v>
      </c>
      <c r="G106" s="5" t="str">
        <f t="shared" si="106"/>
        <v>共青团员</v>
      </c>
      <c r="H106" s="5" t="str">
        <f>"河池学院思想政治教育"</f>
        <v>河池学院思想政治教育</v>
      </c>
      <c r="I106" s="5" t="str">
        <f t="shared" ref="I106:I108" si="107">"思想政治教育"</f>
        <v>思想政治教育</v>
      </c>
      <c r="J106" s="5" t="str">
        <f t="shared" si="100"/>
        <v>本科学士</v>
      </c>
      <c r="K106" s="5" t="str">
        <f t="shared" si="102"/>
        <v>2017.06.01</v>
      </c>
      <c r="L106" s="5" t="str">
        <f t="shared" si="93"/>
        <v>初中</v>
      </c>
      <c r="M106" s="5" t="str">
        <f t="shared" si="103"/>
        <v>299:政治</v>
      </c>
      <c r="N106" s="8">
        <v>26</v>
      </c>
      <c r="O106" s="9">
        <v>50.5</v>
      </c>
      <c r="P106" s="9">
        <f t="shared" si="104"/>
        <v>76.5</v>
      </c>
      <c r="Q106" s="9">
        <v>6</v>
      </c>
    </row>
    <row r="107" spans="1:18" ht="29.25" customHeight="1">
      <c r="A107" s="5">
        <v>105</v>
      </c>
      <c r="B107" s="5" t="str">
        <f>"卢桂兰"</f>
        <v>卢桂兰</v>
      </c>
      <c r="C107" s="5" t="str">
        <f>"女        "</f>
        <v xml:space="preserve">女        </v>
      </c>
      <c r="D107" s="5" t="str">
        <f t="shared" si="95"/>
        <v>汉族</v>
      </c>
      <c r="E107" s="5" t="str">
        <f>"北流"</f>
        <v>北流</v>
      </c>
      <c r="F107" s="5" t="str">
        <f>"1994年01月"</f>
        <v>1994年01月</v>
      </c>
      <c r="G107" s="5" t="str">
        <f>"中共党员"</f>
        <v>中共党员</v>
      </c>
      <c r="H107" s="5" t="str">
        <f>"百色学院思想政治教育"</f>
        <v>百色学院思想政治教育</v>
      </c>
      <c r="I107" s="5" t="str">
        <f t="shared" si="107"/>
        <v>思想政治教育</v>
      </c>
      <c r="J107" s="5" t="str">
        <f t="shared" si="100"/>
        <v>本科学士</v>
      </c>
      <c r="K107" s="5" t="str">
        <f t="shared" si="102"/>
        <v>2017.06.01</v>
      </c>
      <c r="L107" s="5" t="str">
        <f t="shared" si="93"/>
        <v>初中</v>
      </c>
      <c r="M107" s="5" t="str">
        <f t="shared" si="103"/>
        <v>299:政治</v>
      </c>
      <c r="N107" s="8">
        <v>26</v>
      </c>
      <c r="O107" s="9">
        <v>50.5</v>
      </c>
      <c r="P107" s="9">
        <f t="shared" si="104"/>
        <v>76.5</v>
      </c>
      <c r="Q107" s="9">
        <v>7</v>
      </c>
    </row>
    <row r="108" spans="1:18" ht="29.25" customHeight="1">
      <c r="A108" s="5">
        <v>106</v>
      </c>
      <c r="B108" s="5" t="str">
        <f>"陈凤源"</f>
        <v>陈凤源</v>
      </c>
      <c r="C108" s="5" t="str">
        <f>"女        "</f>
        <v xml:space="preserve">女        </v>
      </c>
      <c r="D108" s="5" t="str">
        <f t="shared" si="95"/>
        <v>汉族</v>
      </c>
      <c r="E108" s="5" t="str">
        <f>"北流市"</f>
        <v>北流市</v>
      </c>
      <c r="F108" s="5" t="str">
        <f>"1996年01月"</f>
        <v>1996年01月</v>
      </c>
      <c r="G108" s="5" t="str">
        <f>"共青团员"</f>
        <v>共青团员</v>
      </c>
      <c r="H108" s="5" t="str">
        <f>"广西师范学院思想政治教育"</f>
        <v>广西师范学院思想政治教育</v>
      </c>
      <c r="I108" s="5" t="str">
        <f t="shared" si="107"/>
        <v>思想政治教育</v>
      </c>
      <c r="J108" s="5" t="str">
        <f t="shared" si="100"/>
        <v>本科学士</v>
      </c>
      <c r="K108" s="5" t="str">
        <f>"2017.07.01"</f>
        <v>2017.07.01</v>
      </c>
      <c r="L108" s="5" t="str">
        <f t="shared" si="93"/>
        <v>初中</v>
      </c>
      <c r="M108" s="5" t="str">
        <f t="shared" si="103"/>
        <v>299:政治</v>
      </c>
      <c r="N108" s="8">
        <v>23</v>
      </c>
      <c r="O108" s="9">
        <v>52.67</v>
      </c>
      <c r="P108" s="9">
        <f t="shared" si="104"/>
        <v>75.67</v>
      </c>
      <c r="Q108" s="9">
        <v>8</v>
      </c>
    </row>
  </sheetData>
  <sortState ref="B3:R32">
    <sortCondition descending="1" ref="P3:P32"/>
  </sortState>
  <mergeCells count="1">
    <mergeCell ref="A1:Q1"/>
  </mergeCells>
  <phoneticPr fontId="6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Q169"/>
  <sheetViews>
    <sheetView workbookViewId="0">
      <pane ySplit="2" topLeftCell="A3" activePane="bottomLeft" state="frozen"/>
      <selection pane="bottomLeft" activeCell="A8" sqref="A8"/>
    </sheetView>
  </sheetViews>
  <sheetFormatPr defaultColWidth="9" defaultRowHeight="13.5"/>
  <cols>
    <col min="1" max="1" width="4" style="2" customWidth="1"/>
    <col min="2" max="2" width="6.125" style="2" customWidth="1"/>
    <col min="3" max="3" width="3" style="2" customWidth="1"/>
    <col min="4" max="4" width="3.375" style="2" customWidth="1"/>
    <col min="5" max="5" width="5.125" style="2" customWidth="1"/>
    <col min="6" max="6" width="10.5" style="2" customWidth="1"/>
    <col min="7" max="7" width="4.75" style="2" customWidth="1"/>
    <col min="8" max="8" width="13.125" style="2" customWidth="1"/>
    <col min="9" max="9" width="10.375" style="2" customWidth="1"/>
    <col min="10" max="10" width="5.125" style="2" customWidth="1"/>
    <col min="11" max="11" width="9.875" style="2" customWidth="1"/>
    <col min="12" max="12" width="5.25" style="2" customWidth="1"/>
    <col min="13" max="13" width="8.625" style="2" customWidth="1"/>
    <col min="14" max="14" width="7.125" style="3" customWidth="1"/>
    <col min="15" max="15" width="6.875" style="3" customWidth="1"/>
    <col min="16" max="16" width="8" style="13" customWidth="1"/>
    <col min="17" max="17" width="6.125" style="13" customWidth="1"/>
  </cols>
  <sheetData>
    <row r="1" spans="1:17" ht="29.2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27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  <c r="P2" s="7" t="s">
        <v>15</v>
      </c>
      <c r="Q2" s="7" t="s">
        <v>16</v>
      </c>
    </row>
    <row r="3" spans="1:17" ht="25.5" customHeight="1">
      <c r="A3" s="5">
        <v>1</v>
      </c>
      <c r="B3" s="5" t="str">
        <f>"严春雁"</f>
        <v>严春雁</v>
      </c>
      <c r="C3" s="5" t="str">
        <f t="shared" ref="C3:C16" si="0">"女        "</f>
        <v xml:space="preserve">女        </v>
      </c>
      <c r="D3" s="5" t="str">
        <f t="shared" ref="D3:D21" si="1">"汉族"</f>
        <v>汉族</v>
      </c>
      <c r="E3" s="5" t="str">
        <f>"北流市"</f>
        <v>北流市</v>
      </c>
      <c r="F3" s="5" t="str">
        <f>"1992年06月"</f>
        <v>1992年06月</v>
      </c>
      <c r="G3" s="5" t="str">
        <f>"中共党员"</f>
        <v>中共党员</v>
      </c>
      <c r="H3" s="5" t="str">
        <f>"广西教育学院初等教育"</f>
        <v>广西教育学院初等教育</v>
      </c>
      <c r="I3" s="5" t="str">
        <f>"初等教育"</f>
        <v>初等教育</v>
      </c>
      <c r="J3" s="5" t="str">
        <f>"专科无学位"</f>
        <v>专科无学位</v>
      </c>
      <c r="K3" s="5" t="str">
        <f>"2014.06.01"</f>
        <v>2014.06.01</v>
      </c>
      <c r="L3" s="5" t="str">
        <f t="shared" ref="L3:L36" si="2">"小学"</f>
        <v>小学</v>
      </c>
      <c r="M3" s="5" t="str">
        <f t="shared" ref="M3:M41" si="3">"102:语文"</f>
        <v>102:语文</v>
      </c>
      <c r="N3" s="8">
        <v>30.8</v>
      </c>
      <c r="O3" s="8">
        <v>51.67</v>
      </c>
      <c r="P3" s="9">
        <f t="shared" ref="P3:P41" si="4">N3+O3</f>
        <v>82.47</v>
      </c>
      <c r="Q3" s="9">
        <v>1</v>
      </c>
    </row>
    <row r="4" spans="1:17" ht="25.5" customHeight="1">
      <c r="A4" s="5">
        <v>2</v>
      </c>
      <c r="B4" s="5" t="str">
        <f>"梁灿媚"</f>
        <v>梁灿媚</v>
      </c>
      <c r="C4" s="5" t="str">
        <f t="shared" si="0"/>
        <v xml:space="preserve">女        </v>
      </c>
      <c r="D4" s="5" t="str">
        <f t="shared" si="1"/>
        <v>汉族</v>
      </c>
      <c r="E4" s="5" t="str">
        <f t="shared" ref="E4:E8" si="5">"容县"</f>
        <v>容县</v>
      </c>
      <c r="F4" s="5" t="str">
        <f>"1993年10月"</f>
        <v>1993年10月</v>
      </c>
      <c r="G4" s="5" t="str">
        <f t="shared" ref="G4:G7" si="6">"共青团员"</f>
        <v>共青团员</v>
      </c>
      <c r="H4" s="5" t="str">
        <f>"桂林师范高等专科学校思想政治教育"</f>
        <v>桂林师范高等专科学校思想政治教育</v>
      </c>
      <c r="I4" s="5" t="str">
        <f>"思想政治教育"</f>
        <v>思想政治教育</v>
      </c>
      <c r="J4" s="5" t="str">
        <f>"专科无学位"</f>
        <v>专科无学位</v>
      </c>
      <c r="K4" s="5" t="str">
        <f>"2016.07.01"</f>
        <v>2016.07.01</v>
      </c>
      <c r="L4" s="5" t="str">
        <f t="shared" si="2"/>
        <v>小学</v>
      </c>
      <c r="M4" s="5" t="str">
        <f t="shared" si="3"/>
        <v>102:语文</v>
      </c>
      <c r="N4" s="8">
        <v>27.5</v>
      </c>
      <c r="O4" s="8">
        <v>54.67</v>
      </c>
      <c r="P4" s="9">
        <f t="shared" si="4"/>
        <v>82.17</v>
      </c>
      <c r="Q4" s="9">
        <v>2</v>
      </c>
    </row>
    <row r="5" spans="1:17" ht="25.5" customHeight="1">
      <c r="A5" s="5">
        <v>3</v>
      </c>
      <c r="B5" s="5" t="str">
        <f>"傅洁"</f>
        <v>傅洁</v>
      </c>
      <c r="C5" s="5" t="str">
        <f t="shared" si="0"/>
        <v xml:space="preserve">女        </v>
      </c>
      <c r="D5" s="5" t="str">
        <f t="shared" si="1"/>
        <v>汉族</v>
      </c>
      <c r="E5" s="5" t="str">
        <f t="shared" si="5"/>
        <v>容县</v>
      </c>
      <c r="F5" s="5" t="str">
        <f>"1993年02月"</f>
        <v>1993年02月</v>
      </c>
      <c r="G5" s="5" t="str">
        <f t="shared" si="6"/>
        <v>共青团员</v>
      </c>
      <c r="H5" s="5" t="str">
        <f>"广西艺术学院音乐学文化艺术管理"</f>
        <v>广西艺术学院音乐学文化艺术管理</v>
      </c>
      <c r="I5" s="5" t="str">
        <f>"音乐学文化艺术管理"</f>
        <v>音乐学文化艺术管理</v>
      </c>
      <c r="J5" s="5" t="str">
        <f t="shared" ref="J5:J11" si="7">"本科学士"</f>
        <v>本科学士</v>
      </c>
      <c r="K5" s="5" t="str">
        <f>"2015.06.01"</f>
        <v>2015.06.01</v>
      </c>
      <c r="L5" s="5" t="str">
        <f t="shared" si="2"/>
        <v>小学</v>
      </c>
      <c r="M5" s="5" t="str">
        <f t="shared" si="3"/>
        <v>102:语文</v>
      </c>
      <c r="N5" s="8">
        <v>30.5</v>
      </c>
      <c r="O5" s="8">
        <v>50.33</v>
      </c>
      <c r="P5" s="9">
        <f t="shared" si="4"/>
        <v>80.83</v>
      </c>
      <c r="Q5" s="9">
        <v>3</v>
      </c>
    </row>
    <row r="6" spans="1:17" ht="25.5" customHeight="1">
      <c r="A6" s="5">
        <v>4</v>
      </c>
      <c r="B6" s="5" t="str">
        <f>"李雪明"</f>
        <v>李雪明</v>
      </c>
      <c r="C6" s="5" t="str">
        <f t="shared" si="0"/>
        <v xml:space="preserve">女        </v>
      </c>
      <c r="D6" s="5" t="str">
        <f t="shared" si="1"/>
        <v>汉族</v>
      </c>
      <c r="E6" s="5" t="str">
        <f t="shared" si="5"/>
        <v>容县</v>
      </c>
      <c r="F6" s="5" t="str">
        <f>"1993年03月"</f>
        <v>1993年03月</v>
      </c>
      <c r="G6" s="5" t="str">
        <f>"中共党员"</f>
        <v>中共党员</v>
      </c>
      <c r="H6" s="5" t="str">
        <f>"玉林师范学院小学教育"</f>
        <v>玉林师范学院小学教育</v>
      </c>
      <c r="I6" s="5" t="str">
        <f>"小学教育"</f>
        <v>小学教育</v>
      </c>
      <c r="J6" s="5" t="str">
        <f t="shared" si="7"/>
        <v>本科学士</v>
      </c>
      <c r="K6" s="5" t="str">
        <f>"2017.06.01"</f>
        <v>2017.06.01</v>
      </c>
      <c r="L6" s="5" t="str">
        <f t="shared" si="2"/>
        <v>小学</v>
      </c>
      <c r="M6" s="5" t="str">
        <f t="shared" si="3"/>
        <v>102:语文</v>
      </c>
      <c r="N6" s="8">
        <v>30.5</v>
      </c>
      <c r="O6" s="8">
        <v>50.17</v>
      </c>
      <c r="P6" s="9">
        <f t="shared" si="4"/>
        <v>80.67</v>
      </c>
      <c r="Q6" s="9">
        <v>4</v>
      </c>
    </row>
    <row r="7" spans="1:17" ht="25.5" customHeight="1">
      <c r="A7" s="5">
        <v>5</v>
      </c>
      <c r="B7" s="5" t="str">
        <f>"李彩丽"</f>
        <v>李彩丽</v>
      </c>
      <c r="C7" s="5" t="str">
        <f t="shared" si="0"/>
        <v xml:space="preserve">女        </v>
      </c>
      <c r="D7" s="5" t="str">
        <f t="shared" si="1"/>
        <v>汉族</v>
      </c>
      <c r="E7" s="5" t="str">
        <f t="shared" si="5"/>
        <v>容县</v>
      </c>
      <c r="F7" s="5" t="str">
        <f>"1992年01月"</f>
        <v>1992年01月</v>
      </c>
      <c r="G7" s="5" t="str">
        <f t="shared" si="6"/>
        <v>共青团员</v>
      </c>
      <c r="H7" s="5" t="str">
        <f>"广西艺术学院艺术商务"</f>
        <v>广西艺术学院艺术商务</v>
      </c>
      <c r="I7" s="5" t="str">
        <f>"艺术商务"</f>
        <v>艺术商务</v>
      </c>
      <c r="J7" s="5" t="str">
        <f t="shared" si="7"/>
        <v>本科学士</v>
      </c>
      <c r="K7" s="5" t="str">
        <f>"2016.06.01"</f>
        <v>2016.06.01</v>
      </c>
      <c r="L7" s="5" t="str">
        <f t="shared" si="2"/>
        <v>小学</v>
      </c>
      <c r="M7" s="5" t="str">
        <f t="shared" si="3"/>
        <v>102:语文</v>
      </c>
      <c r="N7" s="8">
        <v>29</v>
      </c>
      <c r="O7" s="8">
        <v>50.67</v>
      </c>
      <c r="P7" s="9">
        <f t="shared" si="4"/>
        <v>79.67</v>
      </c>
      <c r="Q7" s="9">
        <v>5</v>
      </c>
    </row>
    <row r="8" spans="1:17" ht="25.5" customHeight="1">
      <c r="A8" s="5">
        <v>6</v>
      </c>
      <c r="B8" s="5" t="str">
        <f>"梁杰灵"</f>
        <v>梁杰灵</v>
      </c>
      <c r="C8" s="5" t="str">
        <f t="shared" si="0"/>
        <v xml:space="preserve">女        </v>
      </c>
      <c r="D8" s="5" t="str">
        <f t="shared" si="1"/>
        <v>汉族</v>
      </c>
      <c r="E8" s="5" t="str">
        <f t="shared" si="5"/>
        <v>容县</v>
      </c>
      <c r="F8" s="5" t="str">
        <f>"1988年01月"</f>
        <v>1988年01月</v>
      </c>
      <c r="G8" s="5" t="str">
        <f>"群众"</f>
        <v>群众</v>
      </c>
      <c r="H8" s="5" t="str">
        <f>"广西师范大学漓江学院对外汉语"</f>
        <v>广西师范大学漓江学院对外汉语</v>
      </c>
      <c r="I8" s="5" t="str">
        <f>"对外汉语"</f>
        <v>对外汉语</v>
      </c>
      <c r="J8" s="5" t="str">
        <f t="shared" si="7"/>
        <v>本科学士</v>
      </c>
      <c r="K8" s="5" t="str">
        <f>"2011.06.01"</f>
        <v>2011.06.01</v>
      </c>
      <c r="L8" s="5" t="str">
        <f t="shared" si="2"/>
        <v>小学</v>
      </c>
      <c r="M8" s="5" t="str">
        <f t="shared" si="3"/>
        <v>102:语文</v>
      </c>
      <c r="N8" s="8">
        <v>28</v>
      </c>
      <c r="O8" s="8">
        <v>51.67</v>
      </c>
      <c r="P8" s="9">
        <f t="shared" si="4"/>
        <v>79.67</v>
      </c>
      <c r="Q8" s="9">
        <v>6</v>
      </c>
    </row>
    <row r="9" spans="1:17" ht="25.5" customHeight="1">
      <c r="A9" s="5">
        <v>7</v>
      </c>
      <c r="B9" s="5" t="str">
        <f>"卢怡冰"</f>
        <v>卢怡冰</v>
      </c>
      <c r="C9" s="5" t="str">
        <f t="shared" si="0"/>
        <v xml:space="preserve">女        </v>
      </c>
      <c r="D9" s="5" t="str">
        <f t="shared" si="1"/>
        <v>汉族</v>
      </c>
      <c r="E9" s="5" t="str">
        <f>"玉林市"</f>
        <v>玉林市</v>
      </c>
      <c r="F9" s="5" t="str">
        <f>"1992年09月"</f>
        <v>1992年09月</v>
      </c>
      <c r="G9" s="5" t="str">
        <f>"中共党员"</f>
        <v>中共党员</v>
      </c>
      <c r="H9" s="5" t="str">
        <f>"广西外国语学院汉语言文学"</f>
        <v>广西外国语学院汉语言文学</v>
      </c>
      <c r="I9" s="5" t="str">
        <f t="shared" ref="I9:I13" si="8">"汉语言文学"</f>
        <v>汉语言文学</v>
      </c>
      <c r="J9" s="5" t="str">
        <f t="shared" si="7"/>
        <v>本科学士</v>
      </c>
      <c r="K9" s="5" t="str">
        <f>"2017.06.01"</f>
        <v>2017.06.01</v>
      </c>
      <c r="L9" s="5" t="str">
        <f t="shared" si="2"/>
        <v>小学</v>
      </c>
      <c r="M9" s="5" t="str">
        <f t="shared" si="3"/>
        <v>102:语文</v>
      </c>
      <c r="N9" s="8">
        <v>30</v>
      </c>
      <c r="O9" s="8">
        <v>49.33</v>
      </c>
      <c r="P9" s="9">
        <f t="shared" si="4"/>
        <v>79.33</v>
      </c>
      <c r="Q9" s="9">
        <v>7</v>
      </c>
    </row>
    <row r="10" spans="1:17" ht="25.5" customHeight="1">
      <c r="A10" s="5">
        <v>8</v>
      </c>
      <c r="B10" s="5" t="str">
        <f>"覃坤霞"</f>
        <v>覃坤霞</v>
      </c>
      <c r="C10" s="5" t="str">
        <f t="shared" si="0"/>
        <v xml:space="preserve">女        </v>
      </c>
      <c r="D10" s="5" t="str">
        <f t="shared" si="1"/>
        <v>汉族</v>
      </c>
      <c r="E10" s="5" t="str">
        <f t="shared" ref="E10:E19" si="9">"容县"</f>
        <v>容县</v>
      </c>
      <c r="F10" s="5" t="str">
        <f>"1993年10月"</f>
        <v>1993年10月</v>
      </c>
      <c r="G10" s="5" t="str">
        <f t="shared" ref="G10:G18" si="10">"共青团员"</f>
        <v>共青团员</v>
      </c>
      <c r="H10" s="5" t="str">
        <f>"广西师范学院师园学院汉语言文学涉外文秘方向"</f>
        <v>广西师范学院师园学院汉语言文学涉外文秘方向</v>
      </c>
      <c r="I10" s="5" t="str">
        <f>"汉语言文学涉外文秘方向"</f>
        <v>汉语言文学涉外文秘方向</v>
      </c>
      <c r="J10" s="5" t="str">
        <f t="shared" si="7"/>
        <v>本科学士</v>
      </c>
      <c r="K10" s="5" t="str">
        <f>"2016.07.01"</f>
        <v>2016.07.01</v>
      </c>
      <c r="L10" s="5" t="str">
        <f t="shared" si="2"/>
        <v>小学</v>
      </c>
      <c r="M10" s="5" t="str">
        <f t="shared" si="3"/>
        <v>102:语文</v>
      </c>
      <c r="N10" s="8">
        <v>28</v>
      </c>
      <c r="O10" s="8">
        <v>51.33</v>
      </c>
      <c r="P10" s="9">
        <f t="shared" si="4"/>
        <v>79.33</v>
      </c>
      <c r="Q10" s="9">
        <v>8</v>
      </c>
    </row>
    <row r="11" spans="1:17" ht="25.5" customHeight="1">
      <c r="A11" s="5">
        <v>9</v>
      </c>
      <c r="B11" s="5" t="str">
        <f>"梁斯雨"</f>
        <v>梁斯雨</v>
      </c>
      <c r="C11" s="5" t="str">
        <f t="shared" si="0"/>
        <v xml:space="preserve">女        </v>
      </c>
      <c r="D11" s="5" t="str">
        <f t="shared" si="1"/>
        <v>汉族</v>
      </c>
      <c r="E11" s="5" t="str">
        <f t="shared" si="9"/>
        <v>容县</v>
      </c>
      <c r="F11" s="5" t="str">
        <f>"1993年05月"</f>
        <v>1993年05月</v>
      </c>
      <c r="G11" s="5" t="str">
        <f t="shared" si="10"/>
        <v>共青团员</v>
      </c>
      <c r="H11" s="5" t="str">
        <f>"广西师范大学漓江学院汉语言文学"</f>
        <v>广西师范大学漓江学院汉语言文学</v>
      </c>
      <c r="I11" s="5" t="str">
        <f t="shared" si="8"/>
        <v>汉语言文学</v>
      </c>
      <c r="J11" s="5" t="str">
        <f t="shared" si="7"/>
        <v>本科学士</v>
      </c>
      <c r="K11" s="5" t="str">
        <f>"2016.06.01"</f>
        <v>2016.06.01</v>
      </c>
      <c r="L11" s="5" t="str">
        <f t="shared" si="2"/>
        <v>小学</v>
      </c>
      <c r="M11" s="5" t="str">
        <f t="shared" si="3"/>
        <v>102:语文</v>
      </c>
      <c r="N11" s="8">
        <v>27.5</v>
      </c>
      <c r="O11" s="8">
        <v>51.67</v>
      </c>
      <c r="P11" s="9">
        <f t="shared" si="4"/>
        <v>79.17</v>
      </c>
      <c r="Q11" s="9">
        <v>9</v>
      </c>
    </row>
    <row r="12" spans="1:17" ht="25.5" customHeight="1">
      <c r="A12" s="5">
        <v>10</v>
      </c>
      <c r="B12" s="5" t="str">
        <f>"宋春燕"</f>
        <v>宋春燕</v>
      </c>
      <c r="C12" s="5" t="str">
        <f t="shared" si="0"/>
        <v xml:space="preserve">女        </v>
      </c>
      <c r="D12" s="5" t="str">
        <f t="shared" si="1"/>
        <v>汉族</v>
      </c>
      <c r="E12" s="5" t="str">
        <f>"北流"</f>
        <v>北流</v>
      </c>
      <c r="F12" s="5" t="str">
        <f>"1992年08月"</f>
        <v>1992年08月</v>
      </c>
      <c r="G12" s="5" t="str">
        <f>"中共党员"</f>
        <v>中共党员</v>
      </c>
      <c r="H12" s="5" t="str">
        <f>"广西教育学院初等教育"</f>
        <v>广西教育学院初等教育</v>
      </c>
      <c r="I12" s="5" t="str">
        <f>"初等教育"</f>
        <v>初等教育</v>
      </c>
      <c r="J12" s="5" t="str">
        <f t="shared" ref="J12:J16" si="11">"专科无学位"</f>
        <v>专科无学位</v>
      </c>
      <c r="K12" s="5" t="str">
        <f>"2014.06.01"</f>
        <v>2014.06.01</v>
      </c>
      <c r="L12" s="5" t="str">
        <f t="shared" si="2"/>
        <v>小学</v>
      </c>
      <c r="M12" s="5" t="str">
        <f t="shared" si="3"/>
        <v>102:语文</v>
      </c>
      <c r="N12" s="8">
        <v>29</v>
      </c>
      <c r="O12" s="8">
        <v>50</v>
      </c>
      <c r="P12" s="9">
        <f t="shared" si="4"/>
        <v>79</v>
      </c>
      <c r="Q12" s="9">
        <v>10</v>
      </c>
    </row>
    <row r="13" spans="1:17" ht="25.5" customHeight="1">
      <c r="A13" s="5">
        <v>11</v>
      </c>
      <c r="B13" s="5" t="str">
        <f>"刘维敏"</f>
        <v>刘维敏</v>
      </c>
      <c r="C13" s="5" t="str">
        <f t="shared" si="0"/>
        <v xml:space="preserve">女        </v>
      </c>
      <c r="D13" s="5" t="str">
        <f t="shared" si="1"/>
        <v>汉族</v>
      </c>
      <c r="E13" s="5" t="str">
        <f t="shared" si="9"/>
        <v>容县</v>
      </c>
      <c r="F13" s="5" t="str">
        <f>"1992年03月"</f>
        <v>1992年03月</v>
      </c>
      <c r="G13" s="5" t="str">
        <f t="shared" si="10"/>
        <v>共青团员</v>
      </c>
      <c r="H13" s="5" t="str">
        <f>"河池学院汉语言文学"</f>
        <v>河池学院汉语言文学</v>
      </c>
      <c r="I13" s="5" t="str">
        <f t="shared" si="8"/>
        <v>汉语言文学</v>
      </c>
      <c r="J13" s="5" t="str">
        <f t="shared" ref="J13:J18" si="12">"本科学士"</f>
        <v>本科学士</v>
      </c>
      <c r="K13" s="5" t="str">
        <f>"2014.06.01"</f>
        <v>2014.06.01</v>
      </c>
      <c r="L13" s="5" t="str">
        <f t="shared" si="2"/>
        <v>小学</v>
      </c>
      <c r="M13" s="5" t="str">
        <f t="shared" si="3"/>
        <v>102:语文</v>
      </c>
      <c r="N13" s="8">
        <v>28.6</v>
      </c>
      <c r="O13" s="8">
        <v>50.33</v>
      </c>
      <c r="P13" s="9">
        <f t="shared" si="4"/>
        <v>78.930000000000007</v>
      </c>
      <c r="Q13" s="9">
        <v>11</v>
      </c>
    </row>
    <row r="14" spans="1:17" ht="25.5" customHeight="1">
      <c r="A14" s="5">
        <v>12</v>
      </c>
      <c r="B14" s="5" t="str">
        <f>"覃燕婷"</f>
        <v>覃燕婷</v>
      </c>
      <c r="C14" s="5" t="str">
        <f t="shared" si="0"/>
        <v xml:space="preserve">女        </v>
      </c>
      <c r="D14" s="5" t="str">
        <f t="shared" si="1"/>
        <v>汉族</v>
      </c>
      <c r="E14" s="5" t="str">
        <f t="shared" si="9"/>
        <v>容县</v>
      </c>
      <c r="F14" s="5" t="str">
        <f>"1995年07月"</f>
        <v>1995年07月</v>
      </c>
      <c r="G14" s="5" t="str">
        <f t="shared" si="10"/>
        <v>共青团员</v>
      </c>
      <c r="H14" s="5" t="str">
        <f>"桂林师范高等专科学校思想政治教育"</f>
        <v>桂林师范高等专科学校思想政治教育</v>
      </c>
      <c r="I14" s="5" t="str">
        <f>"思想政治教育"</f>
        <v>思想政治教育</v>
      </c>
      <c r="J14" s="5" t="str">
        <f t="shared" si="11"/>
        <v>专科无学位</v>
      </c>
      <c r="K14" s="5" t="str">
        <f>"2017.06.01"</f>
        <v>2017.06.01</v>
      </c>
      <c r="L14" s="5" t="str">
        <f t="shared" si="2"/>
        <v>小学</v>
      </c>
      <c r="M14" s="5" t="str">
        <f t="shared" si="3"/>
        <v>102:语文</v>
      </c>
      <c r="N14" s="8">
        <v>29.2</v>
      </c>
      <c r="O14" s="8">
        <v>49.33</v>
      </c>
      <c r="P14" s="9">
        <f t="shared" si="4"/>
        <v>78.53</v>
      </c>
      <c r="Q14" s="9">
        <v>12</v>
      </c>
    </row>
    <row r="15" spans="1:17" ht="25.5" customHeight="1">
      <c r="A15" s="5">
        <v>13</v>
      </c>
      <c r="B15" s="5" t="str">
        <f>"植苑萍"</f>
        <v>植苑萍</v>
      </c>
      <c r="C15" s="5" t="str">
        <f t="shared" si="0"/>
        <v xml:space="preserve">女        </v>
      </c>
      <c r="D15" s="5" t="str">
        <f t="shared" si="1"/>
        <v>汉族</v>
      </c>
      <c r="E15" s="5" t="str">
        <f t="shared" si="9"/>
        <v>容县</v>
      </c>
      <c r="F15" s="5" t="str">
        <f>"1994年08月"</f>
        <v>1994年08月</v>
      </c>
      <c r="G15" s="5" t="str">
        <f t="shared" si="10"/>
        <v>共青团员</v>
      </c>
      <c r="H15" s="5" t="str">
        <f>"百色学院综合文科教育"</f>
        <v>百色学院综合文科教育</v>
      </c>
      <c r="I15" s="5" t="str">
        <f>"综合文科教育"</f>
        <v>综合文科教育</v>
      </c>
      <c r="J15" s="5" t="str">
        <f t="shared" si="11"/>
        <v>专科无学位</v>
      </c>
      <c r="K15" s="5" t="str">
        <f>"2016.06.01"</f>
        <v>2016.06.01</v>
      </c>
      <c r="L15" s="5" t="str">
        <f t="shared" si="2"/>
        <v>小学</v>
      </c>
      <c r="M15" s="5" t="str">
        <f t="shared" si="3"/>
        <v>102:语文</v>
      </c>
      <c r="N15" s="8">
        <v>27</v>
      </c>
      <c r="O15" s="8">
        <v>51.33</v>
      </c>
      <c r="P15" s="9">
        <f t="shared" si="4"/>
        <v>78.33</v>
      </c>
      <c r="Q15" s="9">
        <v>13</v>
      </c>
    </row>
    <row r="16" spans="1:17" ht="25.5" customHeight="1">
      <c r="A16" s="5">
        <v>14</v>
      </c>
      <c r="B16" s="5" t="str">
        <f>"周丽玲"</f>
        <v>周丽玲</v>
      </c>
      <c r="C16" s="5" t="str">
        <f t="shared" si="0"/>
        <v xml:space="preserve">女        </v>
      </c>
      <c r="D16" s="5" t="str">
        <f t="shared" si="1"/>
        <v>汉族</v>
      </c>
      <c r="E16" s="5" t="str">
        <f t="shared" si="9"/>
        <v>容县</v>
      </c>
      <c r="F16" s="5" t="str">
        <f>"1996年02月"</f>
        <v>1996年02月</v>
      </c>
      <c r="G16" s="5" t="str">
        <f t="shared" si="10"/>
        <v>共青团员</v>
      </c>
      <c r="H16" s="5" t="str">
        <f>"广西教育学院思想政治教育"</f>
        <v>广西教育学院思想政治教育</v>
      </c>
      <c r="I16" s="5" t="str">
        <f>"思想政治教育"</f>
        <v>思想政治教育</v>
      </c>
      <c r="J16" s="5" t="str">
        <f t="shared" si="11"/>
        <v>专科无学位</v>
      </c>
      <c r="K16" s="5" t="str">
        <f>"2017.06.01"</f>
        <v>2017.06.01</v>
      </c>
      <c r="L16" s="5" t="str">
        <f t="shared" si="2"/>
        <v>小学</v>
      </c>
      <c r="M16" s="5" t="str">
        <f t="shared" si="3"/>
        <v>102:语文</v>
      </c>
      <c r="N16" s="8">
        <v>26</v>
      </c>
      <c r="O16" s="8">
        <v>51.67</v>
      </c>
      <c r="P16" s="9">
        <f t="shared" si="4"/>
        <v>77.67</v>
      </c>
      <c r="Q16" s="9">
        <v>14</v>
      </c>
    </row>
    <row r="17" spans="1:17" s="10" customFormat="1" ht="25.5" customHeight="1">
      <c r="A17" s="5">
        <v>15</v>
      </c>
      <c r="B17" s="5" t="str">
        <f>"韦弦"</f>
        <v>韦弦</v>
      </c>
      <c r="C17" s="5" t="str">
        <f>"男        "</f>
        <v xml:space="preserve">男        </v>
      </c>
      <c r="D17" s="5" t="str">
        <f t="shared" si="1"/>
        <v>汉族</v>
      </c>
      <c r="E17" s="5" t="str">
        <f t="shared" si="9"/>
        <v>容县</v>
      </c>
      <c r="F17" s="5" t="str">
        <f>"1990年12月"</f>
        <v>1990年12月</v>
      </c>
      <c r="G17" s="5" t="str">
        <f t="shared" si="10"/>
        <v>共青团员</v>
      </c>
      <c r="H17" s="5" t="str">
        <f>"钦州学院汉语言文学"</f>
        <v>钦州学院汉语言文学</v>
      </c>
      <c r="I17" s="5" t="str">
        <f>"汉语言文学"</f>
        <v>汉语言文学</v>
      </c>
      <c r="J17" s="5" t="str">
        <f t="shared" si="12"/>
        <v>本科学士</v>
      </c>
      <c r="K17" s="5" t="str">
        <f>"2015.06.01"</f>
        <v>2015.06.01</v>
      </c>
      <c r="L17" s="5" t="str">
        <f t="shared" si="2"/>
        <v>小学</v>
      </c>
      <c r="M17" s="5" t="str">
        <f t="shared" si="3"/>
        <v>102:语文</v>
      </c>
      <c r="N17" s="8">
        <v>26</v>
      </c>
      <c r="O17" s="8">
        <v>51.67</v>
      </c>
      <c r="P17" s="9">
        <f t="shared" si="4"/>
        <v>77.67</v>
      </c>
      <c r="Q17" s="9">
        <v>15</v>
      </c>
    </row>
    <row r="18" spans="1:17" ht="25.5" customHeight="1">
      <c r="A18" s="5">
        <v>16</v>
      </c>
      <c r="B18" s="5" t="str">
        <f>"黄秋敏"</f>
        <v>黄秋敏</v>
      </c>
      <c r="C18" s="5" t="str">
        <f t="shared" ref="C18:C22" si="13">"女        "</f>
        <v xml:space="preserve">女        </v>
      </c>
      <c r="D18" s="5" t="str">
        <f t="shared" si="1"/>
        <v>汉族</v>
      </c>
      <c r="E18" s="5" t="str">
        <f t="shared" si="9"/>
        <v>容县</v>
      </c>
      <c r="F18" s="5" t="str">
        <f>"1992年10月"</f>
        <v>1992年10月</v>
      </c>
      <c r="G18" s="5" t="str">
        <f t="shared" si="10"/>
        <v>共青团员</v>
      </c>
      <c r="H18" s="5" t="str">
        <f>"广西玉林师范学院小学教育"</f>
        <v>广西玉林师范学院小学教育</v>
      </c>
      <c r="I18" s="5" t="str">
        <f>"小学教育"</f>
        <v>小学教育</v>
      </c>
      <c r="J18" s="5" t="str">
        <f t="shared" si="12"/>
        <v>本科学士</v>
      </c>
      <c r="K18" s="5" t="str">
        <f>"2016.06.01"</f>
        <v>2016.06.01</v>
      </c>
      <c r="L18" s="5" t="str">
        <f t="shared" si="2"/>
        <v>小学</v>
      </c>
      <c r="M18" s="5" t="str">
        <f t="shared" si="3"/>
        <v>102:语文</v>
      </c>
      <c r="N18" s="8">
        <v>28.5</v>
      </c>
      <c r="O18" s="8">
        <v>49</v>
      </c>
      <c r="P18" s="9">
        <f t="shared" si="4"/>
        <v>77.5</v>
      </c>
      <c r="Q18" s="9">
        <v>16</v>
      </c>
    </row>
    <row r="19" spans="1:17" ht="25.5" customHeight="1">
      <c r="A19" s="5">
        <v>17</v>
      </c>
      <c r="B19" s="5" t="str">
        <f>"陆娟妮"</f>
        <v>陆娟妮</v>
      </c>
      <c r="C19" s="5" t="str">
        <f t="shared" si="13"/>
        <v xml:space="preserve">女        </v>
      </c>
      <c r="D19" s="5" t="str">
        <f t="shared" si="1"/>
        <v>汉族</v>
      </c>
      <c r="E19" s="5" t="str">
        <f t="shared" si="9"/>
        <v>容县</v>
      </c>
      <c r="F19" s="5" t="str">
        <f>"1992年02月"</f>
        <v>1992年02月</v>
      </c>
      <c r="G19" s="5" t="str">
        <f>"中共预备党员"</f>
        <v>中共预备党员</v>
      </c>
      <c r="H19" s="5" t="str">
        <f>"南宁地区教育学院语文教育"</f>
        <v>南宁地区教育学院语文教育</v>
      </c>
      <c r="I19" s="5" t="str">
        <f>"语文教育"</f>
        <v>语文教育</v>
      </c>
      <c r="J19" s="5" t="str">
        <f>"专科无学位"</f>
        <v>专科无学位</v>
      </c>
      <c r="K19" s="5" t="str">
        <f>"2014.07.01"</f>
        <v>2014.07.01</v>
      </c>
      <c r="L19" s="5" t="str">
        <f t="shared" si="2"/>
        <v>小学</v>
      </c>
      <c r="M19" s="5" t="str">
        <f t="shared" si="3"/>
        <v>102:语文</v>
      </c>
      <c r="N19" s="8">
        <v>25</v>
      </c>
      <c r="O19" s="8">
        <v>52.33</v>
      </c>
      <c r="P19" s="9">
        <f t="shared" si="4"/>
        <v>77.33</v>
      </c>
      <c r="Q19" s="9">
        <v>17</v>
      </c>
    </row>
    <row r="20" spans="1:17" ht="25.5" customHeight="1">
      <c r="A20" s="5">
        <v>18</v>
      </c>
      <c r="B20" s="5" t="str">
        <f>"黄健娜"</f>
        <v>黄健娜</v>
      </c>
      <c r="C20" s="5" t="str">
        <f t="shared" si="13"/>
        <v xml:space="preserve">女        </v>
      </c>
      <c r="D20" s="5" t="str">
        <f t="shared" si="1"/>
        <v>汉族</v>
      </c>
      <c r="E20" s="5" t="str">
        <f>"玉林"</f>
        <v>玉林</v>
      </c>
      <c r="F20" s="5" t="str">
        <f>"1993年11月"</f>
        <v>1993年11月</v>
      </c>
      <c r="G20" s="5" t="str">
        <f t="shared" ref="G20:G25" si="14">"共青团员"</f>
        <v>共青团员</v>
      </c>
      <c r="H20" s="5" t="str">
        <f>"百色学院思想政治教育"</f>
        <v>百色学院思想政治教育</v>
      </c>
      <c r="I20" s="5" t="str">
        <f>"思想政治教育"</f>
        <v>思想政治教育</v>
      </c>
      <c r="J20" s="5" t="str">
        <f t="shared" ref="J20:J29" si="15">"本科学士"</f>
        <v>本科学士</v>
      </c>
      <c r="K20" s="5" t="str">
        <f>"2017.07.01"</f>
        <v>2017.07.01</v>
      </c>
      <c r="L20" s="5" t="str">
        <f t="shared" si="2"/>
        <v>小学</v>
      </c>
      <c r="M20" s="5" t="str">
        <f t="shared" si="3"/>
        <v>102:语文</v>
      </c>
      <c r="N20" s="8">
        <v>24</v>
      </c>
      <c r="O20" s="8">
        <v>53.33</v>
      </c>
      <c r="P20" s="9">
        <f t="shared" si="4"/>
        <v>77.33</v>
      </c>
      <c r="Q20" s="9">
        <v>18</v>
      </c>
    </row>
    <row r="21" spans="1:17" ht="25.5" customHeight="1">
      <c r="A21" s="5">
        <v>19</v>
      </c>
      <c r="B21" s="5" t="str">
        <f>"曾诗淇"</f>
        <v>曾诗淇</v>
      </c>
      <c r="C21" s="5" t="str">
        <f t="shared" si="13"/>
        <v xml:space="preserve">女        </v>
      </c>
      <c r="D21" s="5" t="str">
        <f t="shared" si="1"/>
        <v>汉族</v>
      </c>
      <c r="E21" s="5" t="str">
        <f>"玉林"</f>
        <v>玉林</v>
      </c>
      <c r="F21" s="5" t="str">
        <f>"1992年06月"</f>
        <v>1992年06月</v>
      </c>
      <c r="G21" s="5" t="str">
        <f>"中共党员"</f>
        <v>中共党员</v>
      </c>
      <c r="H21" s="5" t="str">
        <f>"河池学院学前教育"</f>
        <v>河池学院学前教育</v>
      </c>
      <c r="I21" s="5" t="str">
        <f>"学前教育"</f>
        <v>学前教育</v>
      </c>
      <c r="J21" s="5" t="str">
        <f t="shared" si="15"/>
        <v>本科学士</v>
      </c>
      <c r="K21" s="5" t="str">
        <f>"2016.06.01"</f>
        <v>2016.06.01</v>
      </c>
      <c r="L21" s="5" t="str">
        <f t="shared" si="2"/>
        <v>小学</v>
      </c>
      <c r="M21" s="5" t="str">
        <f t="shared" si="3"/>
        <v>102:语文</v>
      </c>
      <c r="N21" s="8">
        <v>27.6</v>
      </c>
      <c r="O21" s="8">
        <v>49.33</v>
      </c>
      <c r="P21" s="9">
        <f t="shared" si="4"/>
        <v>76.930000000000007</v>
      </c>
      <c r="Q21" s="9">
        <v>19</v>
      </c>
    </row>
    <row r="22" spans="1:17" ht="25.5" customHeight="1">
      <c r="A22" s="5">
        <v>20</v>
      </c>
      <c r="B22" s="5" t="str">
        <f>"王艳花"</f>
        <v>王艳花</v>
      </c>
      <c r="C22" s="5" t="str">
        <f t="shared" si="13"/>
        <v xml:space="preserve">女        </v>
      </c>
      <c r="D22" s="5" t="str">
        <f>"壮族"</f>
        <v>壮族</v>
      </c>
      <c r="E22" s="5" t="str">
        <f>"百色隆林"</f>
        <v>百色隆林</v>
      </c>
      <c r="F22" s="5" t="str">
        <f>"1995年07月"</f>
        <v>1995年07月</v>
      </c>
      <c r="G22" s="5" t="str">
        <f t="shared" si="14"/>
        <v>共青团员</v>
      </c>
      <c r="H22" s="5" t="str">
        <f>"广西民族大学应用心理学"</f>
        <v>广西民族大学应用心理学</v>
      </c>
      <c r="I22" s="5" t="str">
        <f>"应用心理学"</f>
        <v>应用心理学</v>
      </c>
      <c r="J22" s="5" t="str">
        <f t="shared" si="15"/>
        <v>本科学士</v>
      </c>
      <c r="K22" s="5" t="str">
        <f>"2017.07.01"</f>
        <v>2017.07.01</v>
      </c>
      <c r="L22" s="5" t="str">
        <f t="shared" si="2"/>
        <v>小学</v>
      </c>
      <c r="M22" s="5" t="str">
        <f t="shared" si="3"/>
        <v>102:语文</v>
      </c>
      <c r="N22" s="8">
        <v>29.5</v>
      </c>
      <c r="O22" s="8">
        <v>47.33</v>
      </c>
      <c r="P22" s="9">
        <f t="shared" si="4"/>
        <v>76.83</v>
      </c>
      <c r="Q22" s="9">
        <v>20</v>
      </c>
    </row>
    <row r="23" spans="1:17" ht="25.5" customHeight="1">
      <c r="A23" s="5">
        <v>21</v>
      </c>
      <c r="B23" s="5" t="str">
        <f>"黄太强"</f>
        <v>黄太强</v>
      </c>
      <c r="C23" s="5" t="str">
        <f>"男        "</f>
        <v xml:space="preserve">男        </v>
      </c>
      <c r="D23" s="5" t="str">
        <f t="shared" ref="D23:D36" si="16">"汉族"</f>
        <v>汉族</v>
      </c>
      <c r="E23" s="5" t="str">
        <f>"玉州区"</f>
        <v>玉州区</v>
      </c>
      <c r="F23" s="5" t="str">
        <f>"1990年05月"</f>
        <v>1990年05月</v>
      </c>
      <c r="G23" s="5" t="str">
        <f t="shared" si="14"/>
        <v>共青团员</v>
      </c>
      <c r="H23" s="5" t="str">
        <f>"广西钦州学院教育学院教育学"</f>
        <v>广西钦州学院教育学院教育学</v>
      </c>
      <c r="I23" s="5" t="str">
        <f>"教育学"</f>
        <v>教育学</v>
      </c>
      <c r="J23" s="5" t="str">
        <f t="shared" si="15"/>
        <v>本科学士</v>
      </c>
      <c r="K23" s="5" t="str">
        <f>"2014.07.01"</f>
        <v>2014.07.01</v>
      </c>
      <c r="L23" s="5" t="str">
        <f t="shared" si="2"/>
        <v>小学</v>
      </c>
      <c r="M23" s="5" t="str">
        <f t="shared" si="3"/>
        <v>102:语文</v>
      </c>
      <c r="N23" s="8">
        <v>27.3</v>
      </c>
      <c r="O23" s="8">
        <v>49</v>
      </c>
      <c r="P23" s="9">
        <f t="shared" si="4"/>
        <v>76.3</v>
      </c>
      <c r="Q23" s="9">
        <v>21</v>
      </c>
    </row>
    <row r="24" spans="1:17" ht="25.5" customHeight="1">
      <c r="A24" s="5">
        <v>22</v>
      </c>
      <c r="B24" s="5" t="str">
        <f>"扈雅欣"</f>
        <v>扈雅欣</v>
      </c>
      <c r="C24" s="5" t="str">
        <f t="shared" ref="C24:C29" si="17">"女        "</f>
        <v xml:space="preserve">女        </v>
      </c>
      <c r="D24" s="5" t="str">
        <f t="shared" si="16"/>
        <v>汉族</v>
      </c>
      <c r="E24" s="5" t="str">
        <f t="shared" ref="E24:E30" si="18">"容县"</f>
        <v>容县</v>
      </c>
      <c r="F24" s="5" t="str">
        <f>"1993年03月"</f>
        <v>1993年03月</v>
      </c>
      <c r="G24" s="5" t="str">
        <f t="shared" si="14"/>
        <v>共青团员</v>
      </c>
      <c r="H24" s="5" t="str">
        <f>"广西师范学院小学教育"</f>
        <v>广西师范学院小学教育</v>
      </c>
      <c r="I24" s="5" t="str">
        <f t="shared" ref="I24:I29" si="19">"小学教育"</f>
        <v>小学教育</v>
      </c>
      <c r="J24" s="5" t="str">
        <f t="shared" si="15"/>
        <v>本科学士</v>
      </c>
      <c r="K24" s="5" t="str">
        <f t="shared" ref="K24:K28" si="20">"2017.06.01"</f>
        <v>2017.06.01</v>
      </c>
      <c r="L24" s="5" t="str">
        <f t="shared" si="2"/>
        <v>小学</v>
      </c>
      <c r="M24" s="5" t="str">
        <f t="shared" si="3"/>
        <v>102:语文</v>
      </c>
      <c r="N24" s="8">
        <v>25.9</v>
      </c>
      <c r="O24" s="8">
        <v>50.33</v>
      </c>
      <c r="P24" s="9">
        <f t="shared" si="4"/>
        <v>76.22999999999999</v>
      </c>
      <c r="Q24" s="9">
        <v>22</v>
      </c>
    </row>
    <row r="25" spans="1:17" ht="25.5" customHeight="1">
      <c r="A25" s="5">
        <v>23</v>
      </c>
      <c r="B25" s="5" t="str">
        <f>"谭焙予"</f>
        <v>谭焙予</v>
      </c>
      <c r="C25" s="5" t="str">
        <f t="shared" si="17"/>
        <v xml:space="preserve">女        </v>
      </c>
      <c r="D25" s="5" t="str">
        <f t="shared" si="16"/>
        <v>汉族</v>
      </c>
      <c r="E25" s="5" t="str">
        <f t="shared" si="18"/>
        <v>容县</v>
      </c>
      <c r="F25" s="5" t="str">
        <f>"1993年11月"</f>
        <v>1993年11月</v>
      </c>
      <c r="G25" s="5" t="str">
        <f t="shared" si="14"/>
        <v>共青团员</v>
      </c>
      <c r="H25" s="5" t="str">
        <f>"广西师范大学漓江学院汉语言文学"</f>
        <v>广西师范大学漓江学院汉语言文学</v>
      </c>
      <c r="I25" s="5" t="str">
        <f>"汉语言文学"</f>
        <v>汉语言文学</v>
      </c>
      <c r="J25" s="5" t="str">
        <f t="shared" si="15"/>
        <v>本科学士</v>
      </c>
      <c r="K25" s="5" t="str">
        <f t="shared" si="20"/>
        <v>2017.06.01</v>
      </c>
      <c r="L25" s="5" t="str">
        <f t="shared" si="2"/>
        <v>小学</v>
      </c>
      <c r="M25" s="5" t="str">
        <f t="shared" si="3"/>
        <v>102:语文</v>
      </c>
      <c r="N25" s="8">
        <v>24</v>
      </c>
      <c r="O25" s="8">
        <v>51.67</v>
      </c>
      <c r="P25" s="9">
        <f t="shared" si="4"/>
        <v>75.67</v>
      </c>
      <c r="Q25" s="9">
        <v>23</v>
      </c>
    </row>
    <row r="26" spans="1:17" ht="25.5" customHeight="1">
      <c r="A26" s="5">
        <v>24</v>
      </c>
      <c r="B26" s="5" t="str">
        <f>"梁丽"</f>
        <v>梁丽</v>
      </c>
      <c r="C26" s="5" t="str">
        <f t="shared" si="17"/>
        <v xml:space="preserve">女        </v>
      </c>
      <c r="D26" s="5" t="str">
        <f t="shared" si="16"/>
        <v>汉族</v>
      </c>
      <c r="E26" s="5" t="str">
        <f t="shared" si="18"/>
        <v>容县</v>
      </c>
      <c r="F26" s="5" t="str">
        <f>"1993年09月"</f>
        <v>1993年09月</v>
      </c>
      <c r="G26" s="5" t="str">
        <f>"中共党员"</f>
        <v>中共党员</v>
      </c>
      <c r="H26" s="5" t="str">
        <f>"广西师范大学秘书学"</f>
        <v>广西师范大学秘书学</v>
      </c>
      <c r="I26" s="5" t="str">
        <f>"秘书学"</f>
        <v>秘书学</v>
      </c>
      <c r="J26" s="5" t="str">
        <f t="shared" si="15"/>
        <v>本科学士</v>
      </c>
      <c r="K26" s="5" t="str">
        <f t="shared" si="20"/>
        <v>2017.06.01</v>
      </c>
      <c r="L26" s="5" t="str">
        <f t="shared" si="2"/>
        <v>小学</v>
      </c>
      <c r="M26" s="5" t="str">
        <f t="shared" si="3"/>
        <v>102:语文</v>
      </c>
      <c r="N26" s="8">
        <v>34.6</v>
      </c>
      <c r="O26" s="8">
        <v>41</v>
      </c>
      <c r="P26" s="9">
        <f t="shared" si="4"/>
        <v>75.599999999999994</v>
      </c>
      <c r="Q26" s="9">
        <v>24</v>
      </c>
    </row>
    <row r="27" spans="1:17" ht="25.5" customHeight="1">
      <c r="A27" s="5">
        <v>25</v>
      </c>
      <c r="B27" s="5" t="str">
        <f>"黄惠"</f>
        <v>黄惠</v>
      </c>
      <c r="C27" s="5" t="str">
        <f t="shared" si="17"/>
        <v xml:space="preserve">女        </v>
      </c>
      <c r="D27" s="5" t="str">
        <f t="shared" si="16"/>
        <v>汉族</v>
      </c>
      <c r="E27" s="5" t="str">
        <f t="shared" si="18"/>
        <v>容县</v>
      </c>
      <c r="F27" s="5" t="str">
        <f>"1994年07月"</f>
        <v>1994年07月</v>
      </c>
      <c r="G27" s="5" t="str">
        <f t="shared" ref="G27:G34" si="21">"共青团员"</f>
        <v>共青团员</v>
      </c>
      <c r="H27" s="5" t="str">
        <f>"广西师范学院师园学院汉语言文学"</f>
        <v>广西师范学院师园学院汉语言文学</v>
      </c>
      <c r="I27" s="5" t="str">
        <f>"汉语言文学"</f>
        <v>汉语言文学</v>
      </c>
      <c r="J27" s="5" t="str">
        <f t="shared" si="15"/>
        <v>本科学士</v>
      </c>
      <c r="K27" s="5" t="str">
        <f t="shared" si="20"/>
        <v>2017.06.01</v>
      </c>
      <c r="L27" s="5" t="str">
        <f t="shared" si="2"/>
        <v>小学</v>
      </c>
      <c r="M27" s="5" t="str">
        <f t="shared" si="3"/>
        <v>102:语文</v>
      </c>
      <c r="N27" s="8">
        <v>32.5</v>
      </c>
      <c r="O27" s="8">
        <v>43</v>
      </c>
      <c r="P27" s="9">
        <f t="shared" si="4"/>
        <v>75.5</v>
      </c>
      <c r="Q27" s="9">
        <v>25</v>
      </c>
    </row>
    <row r="28" spans="1:17" s="10" customFormat="1" ht="25.5" customHeight="1">
      <c r="A28" s="5">
        <v>26</v>
      </c>
      <c r="B28" s="5" t="str">
        <f>"陈欢"</f>
        <v>陈欢</v>
      </c>
      <c r="C28" s="5" t="str">
        <f t="shared" si="17"/>
        <v xml:space="preserve">女        </v>
      </c>
      <c r="D28" s="5" t="str">
        <f t="shared" si="16"/>
        <v>汉族</v>
      </c>
      <c r="E28" s="5" t="str">
        <f t="shared" si="18"/>
        <v>容县</v>
      </c>
      <c r="F28" s="5" t="str">
        <f>"1993年07月"</f>
        <v>1993年07月</v>
      </c>
      <c r="G28" s="5" t="str">
        <f t="shared" si="21"/>
        <v>共青团员</v>
      </c>
      <c r="H28" s="5" t="str">
        <f>"广西师范学院师园学院小学教育"</f>
        <v>广西师范学院师园学院小学教育</v>
      </c>
      <c r="I28" s="5" t="str">
        <f t="shared" si="19"/>
        <v>小学教育</v>
      </c>
      <c r="J28" s="5" t="str">
        <f t="shared" si="15"/>
        <v>本科学士</v>
      </c>
      <c r="K28" s="5" t="str">
        <f t="shared" si="20"/>
        <v>2017.06.01</v>
      </c>
      <c r="L28" s="5" t="str">
        <f t="shared" si="2"/>
        <v>小学</v>
      </c>
      <c r="M28" s="5" t="str">
        <f t="shared" si="3"/>
        <v>102:语文</v>
      </c>
      <c r="N28" s="8">
        <v>24.1</v>
      </c>
      <c r="O28" s="8">
        <v>51.33</v>
      </c>
      <c r="P28" s="9">
        <f t="shared" si="4"/>
        <v>75.430000000000007</v>
      </c>
      <c r="Q28" s="9">
        <v>26</v>
      </c>
    </row>
    <row r="29" spans="1:17" s="10" customFormat="1" ht="25.5" customHeight="1">
      <c r="A29" s="5">
        <v>27</v>
      </c>
      <c r="B29" s="5" t="str">
        <f>"甘洁新"</f>
        <v>甘洁新</v>
      </c>
      <c r="C29" s="5" t="str">
        <f t="shared" si="17"/>
        <v xml:space="preserve">女        </v>
      </c>
      <c r="D29" s="5" t="str">
        <f t="shared" si="16"/>
        <v>汉族</v>
      </c>
      <c r="E29" s="5" t="str">
        <f t="shared" si="18"/>
        <v>容县</v>
      </c>
      <c r="F29" s="5" t="str">
        <f>"1992年06月"</f>
        <v>1992年06月</v>
      </c>
      <c r="G29" s="5" t="str">
        <f>"中共党员"</f>
        <v>中共党员</v>
      </c>
      <c r="H29" s="5" t="str">
        <f>"江西师范大学小学教育"</f>
        <v>江西师范大学小学教育</v>
      </c>
      <c r="I29" s="5" t="str">
        <f t="shared" si="19"/>
        <v>小学教育</v>
      </c>
      <c r="J29" s="5" t="str">
        <f t="shared" si="15"/>
        <v>本科学士</v>
      </c>
      <c r="K29" s="5" t="str">
        <f>"2016.07.01"</f>
        <v>2016.07.01</v>
      </c>
      <c r="L29" s="5" t="str">
        <f t="shared" si="2"/>
        <v>小学</v>
      </c>
      <c r="M29" s="5" t="str">
        <f t="shared" si="3"/>
        <v>102:语文</v>
      </c>
      <c r="N29" s="8">
        <v>25.8</v>
      </c>
      <c r="O29" s="8">
        <v>49.5</v>
      </c>
      <c r="P29" s="9">
        <f t="shared" si="4"/>
        <v>75.3</v>
      </c>
      <c r="Q29" s="9">
        <v>27</v>
      </c>
    </row>
    <row r="30" spans="1:17" ht="25.5" customHeight="1">
      <c r="A30" s="5">
        <v>28</v>
      </c>
      <c r="B30" s="5" t="str">
        <f>"曾庆潘"</f>
        <v>曾庆潘</v>
      </c>
      <c r="C30" s="5" t="str">
        <f t="shared" ref="C30:C32" si="22">"男        "</f>
        <v xml:space="preserve">男        </v>
      </c>
      <c r="D30" s="5" t="str">
        <f t="shared" si="16"/>
        <v>汉族</v>
      </c>
      <c r="E30" s="5" t="str">
        <f t="shared" si="18"/>
        <v>容县</v>
      </c>
      <c r="F30" s="5" t="str">
        <f>"1990年07月"</f>
        <v>1990年07月</v>
      </c>
      <c r="G30" s="5" t="str">
        <f>"中共预备党员"</f>
        <v>中共预备党员</v>
      </c>
      <c r="H30" s="5" t="str">
        <f>"南宁地区教育学院语文教育"</f>
        <v>南宁地区教育学院语文教育</v>
      </c>
      <c r="I30" s="5" t="str">
        <f>"语文教育"</f>
        <v>语文教育</v>
      </c>
      <c r="J30" s="5" t="str">
        <f>"专科无学位"</f>
        <v>专科无学位</v>
      </c>
      <c r="K30" s="5" t="str">
        <f>"2013.06.01"</f>
        <v>2013.06.01</v>
      </c>
      <c r="L30" s="5" t="str">
        <f t="shared" si="2"/>
        <v>小学</v>
      </c>
      <c r="M30" s="5" t="str">
        <f t="shared" si="3"/>
        <v>102:语文</v>
      </c>
      <c r="N30" s="8">
        <v>24.9</v>
      </c>
      <c r="O30" s="8">
        <v>50.33</v>
      </c>
      <c r="P30" s="9">
        <f t="shared" si="4"/>
        <v>75.22999999999999</v>
      </c>
      <c r="Q30" s="9">
        <v>28</v>
      </c>
    </row>
    <row r="31" spans="1:17" ht="25.5" customHeight="1">
      <c r="A31" s="5">
        <v>29</v>
      </c>
      <c r="B31" s="5" t="str">
        <f>"陈春福"</f>
        <v>陈春福</v>
      </c>
      <c r="C31" s="5" t="str">
        <f t="shared" si="22"/>
        <v xml:space="preserve">男        </v>
      </c>
      <c r="D31" s="5" t="str">
        <f t="shared" si="16"/>
        <v>汉族</v>
      </c>
      <c r="E31" s="5" t="str">
        <f>"平南"</f>
        <v>平南</v>
      </c>
      <c r="F31" s="5" t="str">
        <f>"1992年07月"</f>
        <v>1992年07月</v>
      </c>
      <c r="G31" s="5" t="str">
        <f>"群众"</f>
        <v>群众</v>
      </c>
      <c r="H31" s="5" t="str">
        <f>"广西师范学院师园学院小学教育"</f>
        <v>广西师范学院师园学院小学教育</v>
      </c>
      <c r="I31" s="5" t="str">
        <f>"小学教育"</f>
        <v>小学教育</v>
      </c>
      <c r="J31" s="5" t="str">
        <f t="shared" ref="J31:J38" si="23">"本科学士"</f>
        <v>本科学士</v>
      </c>
      <c r="K31" s="5" t="str">
        <f t="shared" ref="K31:K36" si="24">"2016.06.01"</f>
        <v>2016.06.01</v>
      </c>
      <c r="L31" s="5" t="str">
        <f t="shared" si="2"/>
        <v>小学</v>
      </c>
      <c r="M31" s="5" t="str">
        <f t="shared" si="3"/>
        <v>102:语文</v>
      </c>
      <c r="N31" s="8">
        <v>27.5</v>
      </c>
      <c r="O31" s="8">
        <v>47.67</v>
      </c>
      <c r="P31" s="9">
        <f t="shared" si="4"/>
        <v>75.17</v>
      </c>
      <c r="Q31" s="9">
        <v>29</v>
      </c>
    </row>
    <row r="32" spans="1:17" s="10" customFormat="1" ht="25.5" customHeight="1">
      <c r="A32" s="5">
        <v>30</v>
      </c>
      <c r="B32" s="5" t="str">
        <f>"陈明过"</f>
        <v>陈明过</v>
      </c>
      <c r="C32" s="5" t="str">
        <f t="shared" si="22"/>
        <v xml:space="preserve">男        </v>
      </c>
      <c r="D32" s="5" t="str">
        <f t="shared" si="16"/>
        <v>汉族</v>
      </c>
      <c r="E32" s="5" t="str">
        <f t="shared" ref="E32:E36" si="25">"容县"</f>
        <v>容县</v>
      </c>
      <c r="F32" s="5" t="str">
        <f>"1992年04月"</f>
        <v>1992年04月</v>
      </c>
      <c r="G32" s="5" t="str">
        <f t="shared" si="21"/>
        <v>共青团员</v>
      </c>
      <c r="H32" s="5" t="str">
        <f>"贺州学院小学教育中文方向"</f>
        <v>贺州学院小学教育中文方向</v>
      </c>
      <c r="I32" s="5" t="str">
        <f>"小学教育中文方向"</f>
        <v>小学教育中文方向</v>
      </c>
      <c r="J32" s="5" t="str">
        <f t="shared" si="23"/>
        <v>本科学士</v>
      </c>
      <c r="K32" s="5" t="str">
        <f>"2016.07.01"</f>
        <v>2016.07.01</v>
      </c>
      <c r="L32" s="5" t="str">
        <f t="shared" si="2"/>
        <v>小学</v>
      </c>
      <c r="M32" s="5" t="str">
        <f t="shared" si="3"/>
        <v>102:语文</v>
      </c>
      <c r="N32" s="8">
        <v>24.5</v>
      </c>
      <c r="O32" s="8">
        <v>50.33</v>
      </c>
      <c r="P32" s="9">
        <f t="shared" si="4"/>
        <v>74.83</v>
      </c>
      <c r="Q32" s="9">
        <v>30</v>
      </c>
    </row>
    <row r="33" spans="1:17" ht="25.5" customHeight="1">
      <c r="A33" s="5">
        <v>31</v>
      </c>
      <c r="B33" s="5" t="str">
        <f>"赖少清"</f>
        <v>赖少清</v>
      </c>
      <c r="C33" s="5" t="str">
        <f>"女        "</f>
        <v xml:space="preserve">女        </v>
      </c>
      <c r="D33" s="5" t="str">
        <f t="shared" si="16"/>
        <v>汉族</v>
      </c>
      <c r="E33" s="5" t="str">
        <f t="shared" si="25"/>
        <v>容县</v>
      </c>
      <c r="F33" s="5" t="str">
        <f>"1991年05月"</f>
        <v>1991年05月</v>
      </c>
      <c r="G33" s="5" t="str">
        <f t="shared" si="21"/>
        <v>共青团员</v>
      </c>
      <c r="H33" s="5" t="str">
        <f>"广西幼儿师范高等专科学校语文教育专业"</f>
        <v>广西幼儿师范高等专科学校语文教育专业</v>
      </c>
      <c r="I33" s="5" t="str">
        <f>"语文教育专业"</f>
        <v>语文教育专业</v>
      </c>
      <c r="J33" s="5" t="str">
        <f>"专科无学位"</f>
        <v>专科无学位</v>
      </c>
      <c r="K33" s="5" t="str">
        <f t="shared" si="24"/>
        <v>2016.06.01</v>
      </c>
      <c r="L33" s="5" t="str">
        <f t="shared" si="2"/>
        <v>小学</v>
      </c>
      <c r="M33" s="5" t="str">
        <f t="shared" si="3"/>
        <v>102:语文</v>
      </c>
      <c r="N33" s="8">
        <v>25.8</v>
      </c>
      <c r="O33" s="8">
        <v>49</v>
      </c>
      <c r="P33" s="9">
        <f t="shared" si="4"/>
        <v>74.8</v>
      </c>
      <c r="Q33" s="9">
        <v>31</v>
      </c>
    </row>
    <row r="34" spans="1:17" s="10" customFormat="1" ht="25.5" customHeight="1">
      <c r="A34" s="5">
        <v>32</v>
      </c>
      <c r="B34" s="5" t="str">
        <f>"黄瀚栎"</f>
        <v>黄瀚栎</v>
      </c>
      <c r="C34" s="5" t="str">
        <f>"女        "</f>
        <v xml:space="preserve">女        </v>
      </c>
      <c r="D34" s="5" t="str">
        <f t="shared" si="16"/>
        <v>汉族</v>
      </c>
      <c r="E34" s="5" t="str">
        <f t="shared" si="25"/>
        <v>容县</v>
      </c>
      <c r="F34" s="5" t="str">
        <f>"1994年08月"</f>
        <v>1994年08月</v>
      </c>
      <c r="G34" s="5" t="str">
        <f t="shared" si="21"/>
        <v>共青团员</v>
      </c>
      <c r="H34" s="5" t="str">
        <f>"广西师范大学漓江学院汉语言文学"</f>
        <v>广西师范大学漓江学院汉语言文学</v>
      </c>
      <c r="I34" s="5" t="str">
        <f t="shared" ref="I34:I39" si="26">"汉语言文学"</f>
        <v>汉语言文学</v>
      </c>
      <c r="J34" s="5" t="str">
        <f t="shared" si="23"/>
        <v>本科学士</v>
      </c>
      <c r="K34" s="5" t="str">
        <f>"2017.06.01"</f>
        <v>2017.06.01</v>
      </c>
      <c r="L34" s="5" t="str">
        <f t="shared" si="2"/>
        <v>小学</v>
      </c>
      <c r="M34" s="5" t="str">
        <f t="shared" si="3"/>
        <v>102:语文</v>
      </c>
      <c r="N34" s="8">
        <v>26.2</v>
      </c>
      <c r="O34" s="8">
        <v>48.33</v>
      </c>
      <c r="P34" s="9">
        <f t="shared" si="4"/>
        <v>74.53</v>
      </c>
      <c r="Q34" s="9">
        <v>32</v>
      </c>
    </row>
    <row r="35" spans="1:17" ht="25.5" customHeight="1">
      <c r="A35" s="5">
        <v>33</v>
      </c>
      <c r="B35" s="5" t="str">
        <f>"温雪琴"</f>
        <v>温雪琴</v>
      </c>
      <c r="C35" s="5" t="str">
        <f>"女        "</f>
        <v xml:space="preserve">女        </v>
      </c>
      <c r="D35" s="5" t="str">
        <f t="shared" si="16"/>
        <v>汉族</v>
      </c>
      <c r="E35" s="5" t="str">
        <f t="shared" si="25"/>
        <v>容县</v>
      </c>
      <c r="F35" s="5" t="str">
        <f>"1989年10月"</f>
        <v>1989年10月</v>
      </c>
      <c r="G35" s="5" t="str">
        <f>"群众"</f>
        <v>群众</v>
      </c>
      <c r="H35" s="5" t="str">
        <f>"桂林电子科技大学数字媒体技术"</f>
        <v>桂林电子科技大学数字媒体技术</v>
      </c>
      <c r="I35" s="5" t="str">
        <f>"数字媒体技术"</f>
        <v>数字媒体技术</v>
      </c>
      <c r="J35" s="5" t="str">
        <f t="shared" si="23"/>
        <v>本科学士</v>
      </c>
      <c r="K35" s="5" t="str">
        <f>"2014.07.01"</f>
        <v>2014.07.01</v>
      </c>
      <c r="L35" s="5" t="str">
        <f t="shared" si="2"/>
        <v>小学</v>
      </c>
      <c r="M35" s="5" t="str">
        <f t="shared" si="3"/>
        <v>102:语文</v>
      </c>
      <c r="N35" s="8">
        <v>21</v>
      </c>
      <c r="O35" s="8">
        <v>53.33</v>
      </c>
      <c r="P35" s="9">
        <f t="shared" si="4"/>
        <v>74.33</v>
      </c>
      <c r="Q35" s="9">
        <v>33</v>
      </c>
    </row>
    <row r="36" spans="1:17" ht="25.5" customHeight="1">
      <c r="A36" s="5">
        <v>34</v>
      </c>
      <c r="B36" s="5" t="str">
        <f>"黄曼英"</f>
        <v>黄曼英</v>
      </c>
      <c r="C36" s="5" t="str">
        <f>"女        "</f>
        <v xml:space="preserve">女        </v>
      </c>
      <c r="D36" s="5" t="str">
        <f t="shared" si="16"/>
        <v>汉族</v>
      </c>
      <c r="E36" s="5" t="str">
        <f t="shared" si="25"/>
        <v>容县</v>
      </c>
      <c r="F36" s="5" t="str">
        <f>"1992年10月"</f>
        <v>1992年10月</v>
      </c>
      <c r="G36" s="5" t="str">
        <f>"共青团员"</f>
        <v>共青团员</v>
      </c>
      <c r="H36" s="5" t="str">
        <f>"广西师范学院日语"</f>
        <v>广西师范学院日语</v>
      </c>
      <c r="I36" s="5" t="str">
        <f>"日语"</f>
        <v>日语</v>
      </c>
      <c r="J36" s="5" t="str">
        <f t="shared" si="23"/>
        <v>本科学士</v>
      </c>
      <c r="K36" s="5" t="str">
        <f t="shared" si="24"/>
        <v>2016.06.01</v>
      </c>
      <c r="L36" s="5" t="str">
        <f t="shared" si="2"/>
        <v>小学</v>
      </c>
      <c r="M36" s="5" t="str">
        <f t="shared" si="3"/>
        <v>102:语文</v>
      </c>
      <c r="N36" s="8">
        <v>33</v>
      </c>
      <c r="O36" s="8">
        <v>41</v>
      </c>
      <c r="P36" s="9">
        <f t="shared" si="4"/>
        <v>74</v>
      </c>
      <c r="Q36" s="9">
        <v>34</v>
      </c>
    </row>
    <row r="37" spans="1:17" ht="25.5" customHeight="1">
      <c r="A37" s="5">
        <v>35</v>
      </c>
      <c r="B37" s="5" t="str">
        <f>"覃瑜雁"</f>
        <v>覃瑜雁</v>
      </c>
      <c r="C37" s="5" t="str">
        <f t="shared" ref="C37:C42" si="27">"女        "</f>
        <v xml:space="preserve">女        </v>
      </c>
      <c r="D37" s="5" t="str">
        <f t="shared" ref="D37:D79" si="28">"汉族"</f>
        <v>汉族</v>
      </c>
      <c r="E37" s="5" t="str">
        <f>"陆川"</f>
        <v>陆川</v>
      </c>
      <c r="F37" s="5" t="str">
        <f>"1996年06月"</f>
        <v>1996年06月</v>
      </c>
      <c r="G37" s="5" t="str">
        <f>"共青团员"</f>
        <v>共青团员</v>
      </c>
      <c r="H37" s="5" t="str">
        <f>"广西科技大学汉语国际教育"</f>
        <v>广西科技大学汉语国际教育</v>
      </c>
      <c r="I37" s="5" t="str">
        <f>"汉语国际教育"</f>
        <v>汉语国际教育</v>
      </c>
      <c r="J37" s="5" t="str">
        <f t="shared" si="23"/>
        <v>本科学士</v>
      </c>
      <c r="K37" s="5" t="str">
        <f>"2017.07.01"</f>
        <v>2017.07.01</v>
      </c>
      <c r="L37" s="5" t="str">
        <f t="shared" ref="L37:L99" si="29">"小学"</f>
        <v>小学</v>
      </c>
      <c r="M37" s="5" t="str">
        <f t="shared" si="3"/>
        <v>102:语文</v>
      </c>
      <c r="N37" s="8">
        <v>29</v>
      </c>
      <c r="O37" s="8">
        <v>45</v>
      </c>
      <c r="P37" s="9">
        <f t="shared" si="4"/>
        <v>74</v>
      </c>
      <c r="Q37" s="9">
        <v>35</v>
      </c>
    </row>
    <row r="38" spans="1:17" ht="25.5" customHeight="1">
      <c r="A38" s="5">
        <v>36</v>
      </c>
      <c r="B38" s="5" t="str">
        <f>"张曼"</f>
        <v>张曼</v>
      </c>
      <c r="C38" s="5" t="str">
        <f t="shared" si="27"/>
        <v xml:space="preserve">女        </v>
      </c>
      <c r="D38" s="5" t="str">
        <f t="shared" si="28"/>
        <v>汉族</v>
      </c>
      <c r="E38" s="5" t="str">
        <f t="shared" ref="E38:E44" si="30">"容县"</f>
        <v>容县</v>
      </c>
      <c r="F38" s="5" t="str">
        <f>"1991年01月"</f>
        <v>1991年01月</v>
      </c>
      <c r="G38" s="5" t="str">
        <f>"共青团员"</f>
        <v>共青团员</v>
      </c>
      <c r="H38" s="5" t="str">
        <f>"广西师范大学漓江学院汉语言文学"</f>
        <v>广西师范大学漓江学院汉语言文学</v>
      </c>
      <c r="I38" s="5" t="str">
        <f t="shared" si="26"/>
        <v>汉语言文学</v>
      </c>
      <c r="J38" s="5" t="str">
        <f t="shared" si="23"/>
        <v>本科学士</v>
      </c>
      <c r="K38" s="5" t="str">
        <f>"2016.06.01"</f>
        <v>2016.06.01</v>
      </c>
      <c r="L38" s="5" t="str">
        <f t="shared" si="29"/>
        <v>小学</v>
      </c>
      <c r="M38" s="5" t="str">
        <f t="shared" si="3"/>
        <v>102:语文</v>
      </c>
      <c r="N38" s="8">
        <v>26</v>
      </c>
      <c r="O38" s="8">
        <v>48</v>
      </c>
      <c r="P38" s="9">
        <f t="shared" si="4"/>
        <v>74</v>
      </c>
      <c r="Q38" s="9">
        <v>36</v>
      </c>
    </row>
    <row r="39" spans="1:17" ht="25.5" customHeight="1">
      <c r="A39" s="5">
        <v>37</v>
      </c>
      <c r="B39" s="5" t="str">
        <f>"陈广珍"</f>
        <v>陈广珍</v>
      </c>
      <c r="C39" s="5" t="str">
        <f t="shared" si="27"/>
        <v xml:space="preserve">女        </v>
      </c>
      <c r="D39" s="5" t="str">
        <f t="shared" si="28"/>
        <v>汉族</v>
      </c>
      <c r="E39" s="5" t="str">
        <f>"玉林"</f>
        <v>玉林</v>
      </c>
      <c r="F39" s="5" t="str">
        <f>"1987年10月"</f>
        <v>1987年10月</v>
      </c>
      <c r="G39" s="5" t="str">
        <f>"共青团员"</f>
        <v>共青团员</v>
      </c>
      <c r="H39" s="5" t="str">
        <f>"广西教育学院汉语言文学"</f>
        <v>广西教育学院汉语言文学</v>
      </c>
      <c r="I39" s="5" t="str">
        <f t="shared" si="26"/>
        <v>汉语言文学</v>
      </c>
      <c r="J39" s="5" t="str">
        <f>"专科无学位"</f>
        <v>专科无学位</v>
      </c>
      <c r="K39" s="5" t="str">
        <f>"2009.06.01"</f>
        <v>2009.06.01</v>
      </c>
      <c r="L39" s="5" t="str">
        <f t="shared" si="29"/>
        <v>小学</v>
      </c>
      <c r="M39" s="5" t="str">
        <f t="shared" si="3"/>
        <v>102:语文</v>
      </c>
      <c r="N39" s="8">
        <v>21</v>
      </c>
      <c r="O39" s="8">
        <v>53</v>
      </c>
      <c r="P39" s="9">
        <f t="shared" si="4"/>
        <v>74</v>
      </c>
      <c r="Q39" s="9">
        <v>37</v>
      </c>
    </row>
    <row r="40" spans="1:17" ht="25.5" customHeight="1">
      <c r="A40" s="5">
        <v>38</v>
      </c>
      <c r="B40" s="5" t="str">
        <f>"覃炎"</f>
        <v>覃炎</v>
      </c>
      <c r="C40" s="5" t="str">
        <f t="shared" si="27"/>
        <v xml:space="preserve">女        </v>
      </c>
      <c r="D40" s="5" t="str">
        <f t="shared" si="28"/>
        <v>汉族</v>
      </c>
      <c r="E40" s="5" t="str">
        <f t="shared" si="30"/>
        <v>容县</v>
      </c>
      <c r="F40" s="5" t="str">
        <f>"1988年01月"</f>
        <v>1988年01月</v>
      </c>
      <c r="G40" s="5" t="str">
        <f t="shared" ref="G40:G49" si="31">"共青团员"</f>
        <v>共青团员</v>
      </c>
      <c r="H40" s="5" t="str">
        <f>"广西科技师范学院综合文科教育"</f>
        <v>广西科技师范学院综合文科教育</v>
      </c>
      <c r="I40" s="5" t="str">
        <f t="shared" ref="I40:I41" si="32">"综合文科教育"</f>
        <v>综合文科教育</v>
      </c>
      <c r="J40" s="5" t="str">
        <f t="shared" ref="J40:J41" si="33">"专科无学位"</f>
        <v>专科无学位</v>
      </c>
      <c r="K40" s="5" t="str">
        <f>"2009.07.01"</f>
        <v>2009.07.01</v>
      </c>
      <c r="L40" s="5" t="str">
        <f t="shared" si="29"/>
        <v>小学</v>
      </c>
      <c r="M40" s="5" t="str">
        <f t="shared" si="3"/>
        <v>102:语文</v>
      </c>
      <c r="N40" s="8">
        <v>25.5</v>
      </c>
      <c r="O40" s="8">
        <v>48.33</v>
      </c>
      <c r="P40" s="9">
        <f t="shared" si="4"/>
        <v>73.83</v>
      </c>
      <c r="Q40" s="9">
        <v>38</v>
      </c>
    </row>
    <row r="41" spans="1:17" ht="25.5" customHeight="1">
      <c r="A41" s="5">
        <v>39</v>
      </c>
      <c r="B41" s="5" t="str">
        <f>"陈春蓉"</f>
        <v>陈春蓉</v>
      </c>
      <c r="C41" s="5" t="str">
        <f t="shared" si="27"/>
        <v xml:space="preserve">女        </v>
      </c>
      <c r="D41" s="5" t="str">
        <f t="shared" si="28"/>
        <v>汉族</v>
      </c>
      <c r="E41" s="5" t="str">
        <f t="shared" si="30"/>
        <v>容县</v>
      </c>
      <c r="F41" s="5" t="str">
        <f>"1988年08月"</f>
        <v>1988年08月</v>
      </c>
      <c r="G41" s="5" t="str">
        <f t="shared" si="31"/>
        <v>共青团员</v>
      </c>
      <c r="H41" s="5" t="str">
        <f>"广西民族师范学院综合文科教育"</f>
        <v>广西民族师范学院综合文科教育</v>
      </c>
      <c r="I41" s="5" t="str">
        <f t="shared" si="32"/>
        <v>综合文科教育</v>
      </c>
      <c r="J41" s="5" t="str">
        <f t="shared" si="33"/>
        <v>专科无学位</v>
      </c>
      <c r="K41" s="5" t="str">
        <f>"2010.07.01"</f>
        <v>2010.07.01</v>
      </c>
      <c r="L41" s="5" t="str">
        <f t="shared" si="29"/>
        <v>小学</v>
      </c>
      <c r="M41" s="5" t="str">
        <f t="shared" si="3"/>
        <v>102:语文</v>
      </c>
      <c r="N41" s="8">
        <v>26.4</v>
      </c>
      <c r="O41" s="8">
        <v>47.33</v>
      </c>
      <c r="P41" s="9">
        <f t="shared" si="4"/>
        <v>73.72999999999999</v>
      </c>
      <c r="Q41" s="9">
        <v>39</v>
      </c>
    </row>
    <row r="42" spans="1:17" s="10" customFormat="1" ht="24" customHeight="1">
      <c r="A42" s="5">
        <v>40</v>
      </c>
      <c r="B42" s="5" t="str">
        <f>"刘思"</f>
        <v>刘思</v>
      </c>
      <c r="C42" s="5" t="str">
        <f t="shared" si="27"/>
        <v xml:space="preserve">女        </v>
      </c>
      <c r="D42" s="5" t="str">
        <f t="shared" si="28"/>
        <v>汉族</v>
      </c>
      <c r="E42" s="5" t="str">
        <f>"玉林"</f>
        <v>玉林</v>
      </c>
      <c r="F42" s="5" t="str">
        <f>"1995年10月"</f>
        <v>1995年10月</v>
      </c>
      <c r="G42" s="5" t="str">
        <f>"中共党员"</f>
        <v>中共党员</v>
      </c>
      <c r="H42" s="5" t="str">
        <f>"钦州学院教育学教育管理方向"</f>
        <v>钦州学院教育学教育管理方向</v>
      </c>
      <c r="I42" s="5" t="str">
        <f>"教育学教育管理方向"</f>
        <v>教育学教育管理方向</v>
      </c>
      <c r="J42" s="5" t="str">
        <f t="shared" ref="J42:J45" si="34">"本科学士"</f>
        <v>本科学士</v>
      </c>
      <c r="K42" s="5" t="str">
        <f>"2017.07.01"</f>
        <v>2017.07.01</v>
      </c>
      <c r="L42" s="5" t="str">
        <f t="shared" si="29"/>
        <v>小学</v>
      </c>
      <c r="M42" s="5" t="str">
        <f t="shared" ref="M42:M78" si="35">"103:数学"</f>
        <v>103:数学</v>
      </c>
      <c r="N42" s="8">
        <v>33.5</v>
      </c>
      <c r="O42" s="8">
        <v>52.67</v>
      </c>
      <c r="P42" s="8">
        <f t="shared" ref="P42:P78" si="36">O42+N42</f>
        <v>86.17</v>
      </c>
      <c r="Q42" s="9">
        <v>1</v>
      </c>
    </row>
    <row r="43" spans="1:17" ht="24" customHeight="1">
      <c r="A43" s="5">
        <v>41</v>
      </c>
      <c r="B43" s="5" t="str">
        <f>"邓校"</f>
        <v>邓校</v>
      </c>
      <c r="C43" s="5" t="str">
        <f>"男        "</f>
        <v xml:space="preserve">男        </v>
      </c>
      <c r="D43" s="5" t="str">
        <f t="shared" si="28"/>
        <v>汉族</v>
      </c>
      <c r="E43" s="5" t="str">
        <f t="shared" si="30"/>
        <v>容县</v>
      </c>
      <c r="F43" s="5" t="str">
        <f>"1993年08月"</f>
        <v>1993年08月</v>
      </c>
      <c r="G43" s="5" t="str">
        <f>"中共预备党员"</f>
        <v>中共预备党员</v>
      </c>
      <c r="H43" s="5" t="str">
        <f>"广西教育学院数学教育"</f>
        <v>广西教育学院数学教育</v>
      </c>
      <c r="I43" s="5" t="str">
        <f>"数学教育"</f>
        <v>数学教育</v>
      </c>
      <c r="J43" s="5" t="str">
        <f t="shared" ref="J43:J47" si="37">"专科无学位"</f>
        <v>专科无学位</v>
      </c>
      <c r="K43" s="5" t="str">
        <f>"2017.06.01"</f>
        <v>2017.06.01</v>
      </c>
      <c r="L43" s="5" t="str">
        <f t="shared" si="29"/>
        <v>小学</v>
      </c>
      <c r="M43" s="5" t="str">
        <f t="shared" si="35"/>
        <v>103:数学</v>
      </c>
      <c r="N43" s="8">
        <v>30.5</v>
      </c>
      <c r="O43" s="8">
        <v>51</v>
      </c>
      <c r="P43" s="8">
        <f t="shared" si="36"/>
        <v>81.5</v>
      </c>
      <c r="Q43" s="9">
        <v>2</v>
      </c>
    </row>
    <row r="44" spans="1:17" ht="24" customHeight="1">
      <c r="A44" s="5">
        <v>42</v>
      </c>
      <c r="B44" s="5" t="str">
        <f>"林美玲"</f>
        <v>林美玲</v>
      </c>
      <c r="C44" s="5" t="str">
        <f t="shared" ref="C44:C46" si="38">"女        "</f>
        <v xml:space="preserve">女        </v>
      </c>
      <c r="D44" s="5" t="str">
        <f t="shared" si="28"/>
        <v>汉族</v>
      </c>
      <c r="E44" s="5" t="str">
        <f t="shared" si="30"/>
        <v>容县</v>
      </c>
      <c r="F44" s="5" t="str">
        <f>"1990年02月"</f>
        <v>1990年02月</v>
      </c>
      <c r="G44" s="5" t="str">
        <f>"中共党员"</f>
        <v>中共党员</v>
      </c>
      <c r="H44" s="5" t="str">
        <f>"云南师范大学商学院会计"</f>
        <v>云南师范大学商学院会计</v>
      </c>
      <c r="I44" s="5" t="str">
        <f>"会计"</f>
        <v>会计</v>
      </c>
      <c r="J44" s="5" t="str">
        <f t="shared" si="34"/>
        <v>本科学士</v>
      </c>
      <c r="K44" s="5" t="str">
        <f>"2015.06.01"</f>
        <v>2015.06.01</v>
      </c>
      <c r="L44" s="5" t="str">
        <f t="shared" si="29"/>
        <v>小学</v>
      </c>
      <c r="M44" s="5" t="str">
        <f t="shared" si="35"/>
        <v>103:数学</v>
      </c>
      <c r="N44" s="8">
        <v>31</v>
      </c>
      <c r="O44" s="8">
        <v>49.33</v>
      </c>
      <c r="P44" s="8">
        <f t="shared" si="36"/>
        <v>80.33</v>
      </c>
      <c r="Q44" s="9">
        <v>3</v>
      </c>
    </row>
    <row r="45" spans="1:17" ht="24" customHeight="1">
      <c r="A45" s="5">
        <v>43</v>
      </c>
      <c r="B45" s="5" t="str">
        <f>"冯洁婷"</f>
        <v>冯洁婷</v>
      </c>
      <c r="C45" s="5" t="str">
        <f t="shared" si="38"/>
        <v xml:space="preserve">女        </v>
      </c>
      <c r="D45" s="5" t="str">
        <f t="shared" si="28"/>
        <v>汉族</v>
      </c>
      <c r="E45" s="5" t="str">
        <f>"玉林"</f>
        <v>玉林</v>
      </c>
      <c r="F45" s="5" t="str">
        <f>"1995年01月"</f>
        <v>1995年01月</v>
      </c>
      <c r="G45" s="5" t="str">
        <f t="shared" si="31"/>
        <v>共青团员</v>
      </c>
      <c r="H45" s="5" t="str">
        <f>"广西师范学院环境科学"</f>
        <v>广西师范学院环境科学</v>
      </c>
      <c r="I45" s="5" t="str">
        <f>"环境科学"</f>
        <v>环境科学</v>
      </c>
      <c r="J45" s="5" t="str">
        <f t="shared" si="34"/>
        <v>本科学士</v>
      </c>
      <c r="K45" s="5" t="str">
        <f>"2016.07.01"</f>
        <v>2016.07.01</v>
      </c>
      <c r="L45" s="5" t="str">
        <f t="shared" si="29"/>
        <v>小学</v>
      </c>
      <c r="M45" s="5" t="str">
        <f t="shared" si="35"/>
        <v>103:数学</v>
      </c>
      <c r="N45" s="8">
        <v>28.5</v>
      </c>
      <c r="O45" s="8">
        <v>51</v>
      </c>
      <c r="P45" s="8">
        <f t="shared" si="36"/>
        <v>79.5</v>
      </c>
      <c r="Q45" s="9">
        <v>4</v>
      </c>
    </row>
    <row r="46" spans="1:17" ht="24" customHeight="1">
      <c r="A46" s="5">
        <v>44</v>
      </c>
      <c r="B46" s="5" t="str">
        <f>"梁春玲"</f>
        <v>梁春玲</v>
      </c>
      <c r="C46" s="5" t="str">
        <f t="shared" si="38"/>
        <v xml:space="preserve">女        </v>
      </c>
      <c r="D46" s="5" t="str">
        <f t="shared" si="28"/>
        <v>汉族</v>
      </c>
      <c r="E46" s="5" t="str">
        <f t="shared" ref="E46:E49" si="39">"容县"</f>
        <v>容县</v>
      </c>
      <c r="F46" s="5" t="str">
        <f>"1994年12月"</f>
        <v>1994年12月</v>
      </c>
      <c r="G46" s="5" t="str">
        <f t="shared" si="31"/>
        <v>共青团员</v>
      </c>
      <c r="H46" s="5" t="str">
        <f>"河池学院学前教育"</f>
        <v>河池学院学前教育</v>
      </c>
      <c r="I46" s="5" t="str">
        <f>"学前教育"</f>
        <v>学前教育</v>
      </c>
      <c r="J46" s="5" t="str">
        <f t="shared" si="37"/>
        <v>专科无学位</v>
      </c>
      <c r="K46" s="5" t="str">
        <f>"2017.07.01"</f>
        <v>2017.07.01</v>
      </c>
      <c r="L46" s="5" t="str">
        <f t="shared" si="29"/>
        <v>小学</v>
      </c>
      <c r="M46" s="5" t="str">
        <f t="shared" si="35"/>
        <v>103:数学</v>
      </c>
      <c r="N46" s="8">
        <v>28</v>
      </c>
      <c r="O46" s="8">
        <v>50.67</v>
      </c>
      <c r="P46" s="8">
        <f t="shared" si="36"/>
        <v>78.67</v>
      </c>
      <c r="Q46" s="9">
        <v>5</v>
      </c>
    </row>
    <row r="47" spans="1:17" s="10" customFormat="1" ht="24" customHeight="1">
      <c r="A47" s="5">
        <v>45</v>
      </c>
      <c r="B47" s="5" t="str">
        <f>"梁懋昌"</f>
        <v>梁懋昌</v>
      </c>
      <c r="C47" s="5" t="str">
        <f>"男        "</f>
        <v xml:space="preserve">男        </v>
      </c>
      <c r="D47" s="5" t="str">
        <f t="shared" si="28"/>
        <v>汉族</v>
      </c>
      <c r="E47" s="5" t="str">
        <f t="shared" si="39"/>
        <v>容县</v>
      </c>
      <c r="F47" s="5" t="str">
        <f>"1992年11月"</f>
        <v>1992年11月</v>
      </c>
      <c r="G47" s="5" t="str">
        <f t="shared" si="31"/>
        <v>共青团员</v>
      </c>
      <c r="H47" s="5" t="str">
        <f>"柳州师范高等专科学校数学教育"</f>
        <v>柳州师范高等专科学校数学教育</v>
      </c>
      <c r="I47" s="5" t="str">
        <f>"数学教育"</f>
        <v>数学教育</v>
      </c>
      <c r="J47" s="5" t="str">
        <f t="shared" si="37"/>
        <v>专科无学位</v>
      </c>
      <c r="K47" s="5" t="str">
        <f>"2014.07.01"</f>
        <v>2014.07.01</v>
      </c>
      <c r="L47" s="5" t="str">
        <f t="shared" si="29"/>
        <v>小学</v>
      </c>
      <c r="M47" s="5" t="str">
        <f t="shared" si="35"/>
        <v>103:数学</v>
      </c>
      <c r="N47" s="8">
        <v>27.5</v>
      </c>
      <c r="O47" s="8">
        <v>50.67</v>
      </c>
      <c r="P47" s="8">
        <f t="shared" si="36"/>
        <v>78.17</v>
      </c>
      <c r="Q47" s="9">
        <v>6</v>
      </c>
    </row>
    <row r="48" spans="1:17" ht="24" customHeight="1">
      <c r="A48" s="5">
        <v>46</v>
      </c>
      <c r="B48" s="5" t="str">
        <f>"黄丽娟"</f>
        <v>黄丽娟</v>
      </c>
      <c r="C48" s="5" t="str">
        <f t="shared" ref="C48:C71" si="40">"女        "</f>
        <v xml:space="preserve">女        </v>
      </c>
      <c r="D48" s="5" t="str">
        <f t="shared" si="28"/>
        <v>汉族</v>
      </c>
      <c r="E48" s="5" t="str">
        <f t="shared" si="39"/>
        <v>容县</v>
      </c>
      <c r="F48" s="5" t="str">
        <f>"1995年03月"</f>
        <v>1995年03月</v>
      </c>
      <c r="G48" s="5" t="str">
        <f t="shared" si="31"/>
        <v>共青团员</v>
      </c>
      <c r="H48" s="5" t="str">
        <f>"广西科技大学工程管理"</f>
        <v>广西科技大学工程管理</v>
      </c>
      <c r="I48" s="5" t="str">
        <f>"工程管理"</f>
        <v>工程管理</v>
      </c>
      <c r="J48" s="5" t="str">
        <f t="shared" ref="J48:J53" si="41">"本科学士"</f>
        <v>本科学士</v>
      </c>
      <c r="K48" s="5" t="str">
        <f>"2017.06.01"</f>
        <v>2017.06.01</v>
      </c>
      <c r="L48" s="5" t="str">
        <f t="shared" si="29"/>
        <v>小学</v>
      </c>
      <c r="M48" s="5" t="str">
        <f t="shared" si="35"/>
        <v>103:数学</v>
      </c>
      <c r="N48" s="8">
        <v>26</v>
      </c>
      <c r="O48" s="8">
        <v>51.33</v>
      </c>
      <c r="P48" s="8">
        <f t="shared" si="36"/>
        <v>77.33</v>
      </c>
      <c r="Q48" s="9">
        <v>7</v>
      </c>
    </row>
    <row r="49" spans="1:17" ht="24" customHeight="1">
      <c r="A49" s="5">
        <v>47</v>
      </c>
      <c r="B49" s="5" t="str">
        <f>"甘雪兰"</f>
        <v>甘雪兰</v>
      </c>
      <c r="C49" s="5" t="str">
        <f t="shared" si="40"/>
        <v xml:space="preserve">女        </v>
      </c>
      <c r="D49" s="5" t="str">
        <f t="shared" si="28"/>
        <v>汉族</v>
      </c>
      <c r="E49" s="5" t="str">
        <f t="shared" si="39"/>
        <v>容县</v>
      </c>
      <c r="F49" s="5" t="str">
        <f>"1994年01月"</f>
        <v>1994年01月</v>
      </c>
      <c r="G49" s="5" t="str">
        <f t="shared" si="31"/>
        <v>共青团员</v>
      </c>
      <c r="H49" s="5" t="str">
        <f>"广西教育学院数学教育"</f>
        <v>广西教育学院数学教育</v>
      </c>
      <c r="I49" s="5" t="str">
        <f>"数学教育"</f>
        <v>数学教育</v>
      </c>
      <c r="J49" s="5" t="str">
        <f t="shared" ref="J49:J51" si="42">"专科无学位"</f>
        <v>专科无学位</v>
      </c>
      <c r="K49" s="5" t="str">
        <f>"2017.07.01"</f>
        <v>2017.07.01</v>
      </c>
      <c r="L49" s="5" t="str">
        <f t="shared" si="29"/>
        <v>小学</v>
      </c>
      <c r="M49" s="5" t="str">
        <f t="shared" si="35"/>
        <v>103:数学</v>
      </c>
      <c r="N49" s="8">
        <v>26</v>
      </c>
      <c r="O49" s="8">
        <v>51</v>
      </c>
      <c r="P49" s="8">
        <f t="shared" si="36"/>
        <v>77</v>
      </c>
      <c r="Q49" s="9">
        <v>8</v>
      </c>
    </row>
    <row r="50" spans="1:17" ht="24" customHeight="1">
      <c r="A50" s="5">
        <v>48</v>
      </c>
      <c r="B50" s="5" t="str">
        <f>"黄品"</f>
        <v>黄品</v>
      </c>
      <c r="C50" s="5" t="str">
        <f t="shared" si="40"/>
        <v xml:space="preserve">女        </v>
      </c>
      <c r="D50" s="5" t="str">
        <f t="shared" si="28"/>
        <v>汉族</v>
      </c>
      <c r="E50" s="5" t="str">
        <f>"岑溪市"</f>
        <v>岑溪市</v>
      </c>
      <c r="F50" s="5" t="str">
        <f>"1989年12月"</f>
        <v>1989年12月</v>
      </c>
      <c r="G50" s="5" t="str">
        <f>"中共党员"</f>
        <v>中共党员</v>
      </c>
      <c r="H50" s="5" t="str">
        <f>"广西民族师范学院化学教育"</f>
        <v>广西民族师范学院化学教育</v>
      </c>
      <c r="I50" s="5" t="str">
        <f>"化学教育"</f>
        <v>化学教育</v>
      </c>
      <c r="J50" s="5" t="str">
        <f t="shared" si="42"/>
        <v>专科无学位</v>
      </c>
      <c r="K50" s="5" t="str">
        <f>"2012.07.01"</f>
        <v>2012.07.01</v>
      </c>
      <c r="L50" s="5" t="str">
        <f t="shared" si="29"/>
        <v>小学</v>
      </c>
      <c r="M50" s="5" t="str">
        <f t="shared" si="35"/>
        <v>103:数学</v>
      </c>
      <c r="N50" s="8">
        <v>34</v>
      </c>
      <c r="O50" s="8">
        <v>42.67</v>
      </c>
      <c r="P50" s="8">
        <f t="shared" si="36"/>
        <v>76.67</v>
      </c>
      <c r="Q50" s="9">
        <v>9</v>
      </c>
    </row>
    <row r="51" spans="1:17" ht="24" customHeight="1">
      <c r="A51" s="5">
        <v>49</v>
      </c>
      <c r="B51" s="5" t="str">
        <f>"陈海莲"</f>
        <v>陈海莲</v>
      </c>
      <c r="C51" s="5" t="str">
        <f t="shared" si="40"/>
        <v xml:space="preserve">女        </v>
      </c>
      <c r="D51" s="5" t="str">
        <f t="shared" si="28"/>
        <v>汉族</v>
      </c>
      <c r="E51" s="5" t="str">
        <f t="shared" ref="E51:E54" si="43">"容县"</f>
        <v>容县</v>
      </c>
      <c r="F51" s="5" t="str">
        <f>"1994年01月"</f>
        <v>1994年01月</v>
      </c>
      <c r="G51" s="5" t="str">
        <f t="shared" ref="G51:G54" si="44">"共青团员"</f>
        <v>共青团员</v>
      </c>
      <c r="H51" s="5" t="str">
        <f>"广西幼儿师范高等专科学校学前教育"</f>
        <v>广西幼儿师范高等专科学校学前教育</v>
      </c>
      <c r="I51" s="5" t="str">
        <f>"学前教育"</f>
        <v>学前教育</v>
      </c>
      <c r="J51" s="5" t="str">
        <f t="shared" si="42"/>
        <v>专科无学位</v>
      </c>
      <c r="K51" s="5" t="str">
        <f t="shared" ref="K51:K54" si="45">"2016.06.01"</f>
        <v>2016.06.01</v>
      </c>
      <c r="L51" s="5" t="str">
        <f t="shared" si="29"/>
        <v>小学</v>
      </c>
      <c r="M51" s="5" t="str">
        <f t="shared" si="35"/>
        <v>103:数学</v>
      </c>
      <c r="N51" s="8">
        <v>27.5</v>
      </c>
      <c r="O51" s="8">
        <v>49</v>
      </c>
      <c r="P51" s="8">
        <f t="shared" si="36"/>
        <v>76.5</v>
      </c>
      <c r="Q51" s="9">
        <v>10</v>
      </c>
    </row>
    <row r="52" spans="1:17" ht="24" customHeight="1">
      <c r="A52" s="5">
        <v>50</v>
      </c>
      <c r="B52" s="5" t="str">
        <f>"廖媚"</f>
        <v>廖媚</v>
      </c>
      <c r="C52" s="5" t="str">
        <f t="shared" si="40"/>
        <v xml:space="preserve">女        </v>
      </c>
      <c r="D52" s="5" t="str">
        <f t="shared" si="28"/>
        <v>汉族</v>
      </c>
      <c r="E52" s="5" t="str">
        <f t="shared" si="43"/>
        <v>容县</v>
      </c>
      <c r="F52" s="5" t="str">
        <f>"1992年04月"</f>
        <v>1992年04月</v>
      </c>
      <c r="G52" s="5" t="str">
        <f t="shared" si="44"/>
        <v>共青团员</v>
      </c>
      <c r="H52" s="5" t="str">
        <f>"广西科技大学统计学"</f>
        <v>广西科技大学统计学</v>
      </c>
      <c r="I52" s="5" t="str">
        <f>"统计学"</f>
        <v>统计学</v>
      </c>
      <c r="J52" s="5" t="str">
        <f t="shared" si="41"/>
        <v>本科学士</v>
      </c>
      <c r="K52" s="5" t="str">
        <f t="shared" si="45"/>
        <v>2016.06.01</v>
      </c>
      <c r="L52" s="5" t="str">
        <f t="shared" si="29"/>
        <v>小学</v>
      </c>
      <c r="M52" s="5" t="str">
        <f t="shared" si="35"/>
        <v>103:数学</v>
      </c>
      <c r="N52" s="8">
        <v>24</v>
      </c>
      <c r="O52" s="8">
        <v>51.33</v>
      </c>
      <c r="P52" s="8">
        <f t="shared" si="36"/>
        <v>75.33</v>
      </c>
      <c r="Q52" s="9">
        <v>11</v>
      </c>
    </row>
    <row r="53" spans="1:17" ht="24" customHeight="1">
      <c r="A53" s="5">
        <v>51</v>
      </c>
      <c r="B53" s="5" t="str">
        <f>"吴冰"</f>
        <v>吴冰</v>
      </c>
      <c r="C53" s="5" t="str">
        <f t="shared" si="40"/>
        <v xml:space="preserve">女        </v>
      </c>
      <c r="D53" s="5" t="str">
        <f t="shared" si="28"/>
        <v>汉族</v>
      </c>
      <c r="E53" s="5" t="str">
        <f t="shared" si="43"/>
        <v>容县</v>
      </c>
      <c r="F53" s="5" t="str">
        <f>"1990年06月"</f>
        <v>1990年06月</v>
      </c>
      <c r="G53" s="5" t="str">
        <f t="shared" si="44"/>
        <v>共青团员</v>
      </c>
      <c r="H53" s="5" t="str">
        <f>"桂林理工大学市场营销"</f>
        <v>桂林理工大学市场营销</v>
      </c>
      <c r="I53" s="5" t="str">
        <f>"市场营销"</f>
        <v>市场营销</v>
      </c>
      <c r="J53" s="5" t="str">
        <f t="shared" si="41"/>
        <v>本科学士</v>
      </c>
      <c r="K53" s="5" t="str">
        <f t="shared" si="45"/>
        <v>2016.06.01</v>
      </c>
      <c r="L53" s="5" t="str">
        <f t="shared" si="29"/>
        <v>小学</v>
      </c>
      <c r="M53" s="5" t="str">
        <f t="shared" si="35"/>
        <v>103:数学</v>
      </c>
      <c r="N53" s="8">
        <v>26</v>
      </c>
      <c r="O53" s="8">
        <v>48.67</v>
      </c>
      <c r="P53" s="8">
        <f t="shared" si="36"/>
        <v>74.67</v>
      </c>
      <c r="Q53" s="9">
        <v>12</v>
      </c>
    </row>
    <row r="54" spans="1:17" ht="24" customHeight="1">
      <c r="A54" s="5">
        <v>52</v>
      </c>
      <c r="B54" s="5" t="str">
        <f>"梁君霞"</f>
        <v>梁君霞</v>
      </c>
      <c r="C54" s="5" t="str">
        <f t="shared" si="40"/>
        <v xml:space="preserve">女        </v>
      </c>
      <c r="D54" s="5" t="str">
        <f t="shared" si="28"/>
        <v>汉族</v>
      </c>
      <c r="E54" s="5" t="str">
        <f t="shared" si="43"/>
        <v>容县</v>
      </c>
      <c r="F54" s="5" t="str">
        <f>"1994年10月"</f>
        <v>1994年10月</v>
      </c>
      <c r="G54" s="5" t="str">
        <f t="shared" si="44"/>
        <v>共青团员</v>
      </c>
      <c r="H54" s="5" t="str">
        <f>"玉林师范学院学前教育"</f>
        <v>玉林师范学院学前教育</v>
      </c>
      <c r="I54" s="5" t="str">
        <f>"学前教育"</f>
        <v>学前教育</v>
      </c>
      <c r="J54" s="5" t="str">
        <f t="shared" ref="J54:J59" si="46">"专科无学位"</f>
        <v>专科无学位</v>
      </c>
      <c r="K54" s="5" t="str">
        <f t="shared" si="45"/>
        <v>2016.06.01</v>
      </c>
      <c r="L54" s="5" t="str">
        <f t="shared" si="29"/>
        <v>小学</v>
      </c>
      <c r="M54" s="5" t="str">
        <f t="shared" si="35"/>
        <v>103:数学</v>
      </c>
      <c r="N54" s="8">
        <v>24</v>
      </c>
      <c r="O54" s="8">
        <v>50.33</v>
      </c>
      <c r="P54" s="8">
        <f t="shared" si="36"/>
        <v>74.33</v>
      </c>
      <c r="Q54" s="9">
        <v>13</v>
      </c>
    </row>
    <row r="55" spans="1:17" s="10" customFormat="1" ht="24" customHeight="1">
      <c r="A55" s="5">
        <v>53</v>
      </c>
      <c r="B55" s="5" t="str">
        <f>"余秀芸"</f>
        <v>余秀芸</v>
      </c>
      <c r="C55" s="5" t="str">
        <f t="shared" si="40"/>
        <v xml:space="preserve">女        </v>
      </c>
      <c r="D55" s="5" t="str">
        <f t="shared" si="28"/>
        <v>汉族</v>
      </c>
      <c r="E55" s="5" t="str">
        <f>"玉林"</f>
        <v>玉林</v>
      </c>
      <c r="F55" s="5" t="str">
        <f>"1990年02月"</f>
        <v>1990年02月</v>
      </c>
      <c r="G55" s="5" t="str">
        <f t="shared" ref="G55:G58" si="47">"中共党员"</f>
        <v>中共党员</v>
      </c>
      <c r="H55" s="5" t="str">
        <f>"河池学院小学教育"</f>
        <v>河池学院小学教育</v>
      </c>
      <c r="I55" s="5" t="str">
        <f>"小学教育"</f>
        <v>小学教育</v>
      </c>
      <c r="J55" s="5" t="str">
        <f t="shared" ref="J55:J61" si="48">"本科学士"</f>
        <v>本科学士</v>
      </c>
      <c r="K55" s="5" t="str">
        <f t="shared" ref="K55:K60" si="49">"2014.06.01"</f>
        <v>2014.06.01</v>
      </c>
      <c r="L55" s="5" t="str">
        <f t="shared" si="29"/>
        <v>小学</v>
      </c>
      <c r="M55" s="5" t="str">
        <f t="shared" si="35"/>
        <v>103:数学</v>
      </c>
      <c r="N55" s="8">
        <v>23</v>
      </c>
      <c r="O55" s="8">
        <v>51.33</v>
      </c>
      <c r="P55" s="8">
        <f t="shared" si="36"/>
        <v>74.33</v>
      </c>
      <c r="Q55" s="9">
        <v>14</v>
      </c>
    </row>
    <row r="56" spans="1:17" ht="24" customHeight="1">
      <c r="A56" s="5">
        <v>54</v>
      </c>
      <c r="B56" s="5" t="str">
        <f>"梁燕兰"</f>
        <v>梁燕兰</v>
      </c>
      <c r="C56" s="5" t="str">
        <f t="shared" si="40"/>
        <v xml:space="preserve">女        </v>
      </c>
      <c r="D56" s="5" t="str">
        <f t="shared" si="28"/>
        <v>汉族</v>
      </c>
      <c r="E56" s="5" t="str">
        <f t="shared" ref="E56:E68" si="50">"容县"</f>
        <v>容县</v>
      </c>
      <c r="F56" s="5" t="str">
        <f>"1993年05月"</f>
        <v>1993年05月</v>
      </c>
      <c r="G56" s="5" t="str">
        <f t="shared" si="47"/>
        <v>中共党员</v>
      </c>
      <c r="H56" s="5" t="str">
        <f>"贺州学院国际经济与贸易"</f>
        <v>贺州学院国际经济与贸易</v>
      </c>
      <c r="I56" s="5" t="str">
        <f>"国际经济与贸易"</f>
        <v>国际经济与贸易</v>
      </c>
      <c r="J56" s="5" t="str">
        <f t="shared" si="48"/>
        <v>本科学士</v>
      </c>
      <c r="K56" s="5" t="str">
        <f>"2016.06.01"</f>
        <v>2016.06.01</v>
      </c>
      <c r="L56" s="5" t="str">
        <f t="shared" si="29"/>
        <v>小学</v>
      </c>
      <c r="M56" s="5" t="str">
        <f t="shared" si="35"/>
        <v>103:数学</v>
      </c>
      <c r="N56" s="8">
        <v>24</v>
      </c>
      <c r="O56" s="8">
        <v>49.67</v>
      </c>
      <c r="P56" s="8">
        <f t="shared" si="36"/>
        <v>73.67</v>
      </c>
      <c r="Q56" s="9">
        <v>15</v>
      </c>
    </row>
    <row r="57" spans="1:17" ht="24" customHeight="1">
      <c r="A57" s="5">
        <v>55</v>
      </c>
      <c r="B57" s="5" t="str">
        <f>"苏汉超"</f>
        <v>苏汉超</v>
      </c>
      <c r="C57" s="5" t="str">
        <f t="shared" si="40"/>
        <v xml:space="preserve">女        </v>
      </c>
      <c r="D57" s="5" t="str">
        <f t="shared" si="28"/>
        <v>汉族</v>
      </c>
      <c r="E57" s="5" t="str">
        <f>"玉林"</f>
        <v>玉林</v>
      </c>
      <c r="F57" s="5" t="str">
        <f>"1990年09月"</f>
        <v>1990年09月</v>
      </c>
      <c r="G57" s="5" t="str">
        <f t="shared" si="47"/>
        <v>中共党员</v>
      </c>
      <c r="H57" s="5" t="str">
        <f>"广西师范高等专科学校广西大学化学教育"</f>
        <v>广西师范高等专科学校广西大学化学教育</v>
      </c>
      <c r="I57" s="5" t="str">
        <f>"化学教育"</f>
        <v>化学教育</v>
      </c>
      <c r="J57" s="5" t="str">
        <f>"专科学士"</f>
        <v>专科学士</v>
      </c>
      <c r="K57" s="5" t="str">
        <f t="shared" si="49"/>
        <v>2014.06.01</v>
      </c>
      <c r="L57" s="5" t="str">
        <f t="shared" si="29"/>
        <v>小学</v>
      </c>
      <c r="M57" s="5" t="str">
        <f t="shared" si="35"/>
        <v>103:数学</v>
      </c>
      <c r="N57" s="8">
        <v>22</v>
      </c>
      <c r="O57" s="8">
        <v>51.33</v>
      </c>
      <c r="P57" s="8">
        <f t="shared" si="36"/>
        <v>73.33</v>
      </c>
      <c r="Q57" s="9">
        <v>16</v>
      </c>
    </row>
    <row r="58" spans="1:17" ht="24" customHeight="1">
      <c r="A58" s="5">
        <v>56</v>
      </c>
      <c r="B58" s="5" t="str">
        <f>"杨金媚"</f>
        <v>杨金媚</v>
      </c>
      <c r="C58" s="5" t="str">
        <f t="shared" si="40"/>
        <v xml:space="preserve">女        </v>
      </c>
      <c r="D58" s="5" t="str">
        <f t="shared" si="28"/>
        <v>汉族</v>
      </c>
      <c r="E58" s="5" t="s">
        <v>18</v>
      </c>
      <c r="F58" s="5" t="str">
        <f>"1995年11月"</f>
        <v>1995年11月</v>
      </c>
      <c r="G58" s="5" t="str">
        <f t="shared" si="47"/>
        <v>中共党员</v>
      </c>
      <c r="H58" s="5" t="str">
        <f>"百色学院学前教育"</f>
        <v>百色学院学前教育</v>
      </c>
      <c r="I58" s="5" t="str">
        <f>"学前教育"</f>
        <v>学前教育</v>
      </c>
      <c r="J58" s="5" t="str">
        <f t="shared" si="46"/>
        <v>专科无学位</v>
      </c>
      <c r="K58" s="5" t="str">
        <f>"2017.06.01"</f>
        <v>2017.06.01</v>
      </c>
      <c r="L58" s="5" t="str">
        <f t="shared" si="29"/>
        <v>小学</v>
      </c>
      <c r="M58" s="5" t="str">
        <f t="shared" si="35"/>
        <v>103:数学</v>
      </c>
      <c r="N58" s="8">
        <v>25.5</v>
      </c>
      <c r="O58" s="8">
        <v>47.67</v>
      </c>
      <c r="P58" s="8">
        <f t="shared" si="36"/>
        <v>73.17</v>
      </c>
      <c r="Q58" s="9">
        <v>17</v>
      </c>
    </row>
    <row r="59" spans="1:17" s="10" customFormat="1" ht="24" customHeight="1">
      <c r="A59" s="5">
        <v>57</v>
      </c>
      <c r="B59" s="5" t="str">
        <f>"黄金兰"</f>
        <v>黄金兰</v>
      </c>
      <c r="C59" s="5" t="str">
        <f t="shared" si="40"/>
        <v xml:space="preserve">女        </v>
      </c>
      <c r="D59" s="5" t="str">
        <f t="shared" si="28"/>
        <v>汉族</v>
      </c>
      <c r="E59" s="5" t="str">
        <f t="shared" si="50"/>
        <v>容县</v>
      </c>
      <c r="F59" s="5" t="str">
        <f>"1988年05月"</f>
        <v>1988年05月</v>
      </c>
      <c r="G59" s="5" t="str">
        <f t="shared" ref="G59:G64" si="51">"共青团员"</f>
        <v>共青团员</v>
      </c>
      <c r="H59" s="5" t="str">
        <f>"桂林师范高等专科学校初等教育"</f>
        <v>桂林师范高等专科学校初等教育</v>
      </c>
      <c r="I59" s="5" t="str">
        <f>"初等教育"</f>
        <v>初等教育</v>
      </c>
      <c r="J59" s="5" t="str">
        <f t="shared" si="46"/>
        <v>专科无学位</v>
      </c>
      <c r="K59" s="5" t="str">
        <f>"2013.06.01"</f>
        <v>2013.06.01</v>
      </c>
      <c r="L59" s="5" t="str">
        <f t="shared" si="29"/>
        <v>小学</v>
      </c>
      <c r="M59" s="5" t="str">
        <f t="shared" si="35"/>
        <v>103:数学</v>
      </c>
      <c r="N59" s="8">
        <v>23</v>
      </c>
      <c r="O59" s="8">
        <v>50</v>
      </c>
      <c r="P59" s="8">
        <f t="shared" si="36"/>
        <v>73</v>
      </c>
      <c r="Q59" s="9">
        <v>18</v>
      </c>
    </row>
    <row r="60" spans="1:17" ht="24" customHeight="1">
      <c r="A60" s="5">
        <v>58</v>
      </c>
      <c r="B60" s="5" t="str">
        <f>"覃宇新"</f>
        <v>覃宇新</v>
      </c>
      <c r="C60" s="5" t="str">
        <f t="shared" si="40"/>
        <v xml:space="preserve">女        </v>
      </c>
      <c r="D60" s="5" t="str">
        <f t="shared" si="28"/>
        <v>汉族</v>
      </c>
      <c r="E60" s="5" t="str">
        <f t="shared" si="50"/>
        <v>容县</v>
      </c>
      <c r="F60" s="5" t="str">
        <f>"1991年05月"</f>
        <v>1991年05月</v>
      </c>
      <c r="G60" s="5" t="str">
        <f t="shared" ref="G60:G65" si="52">"中共党员"</f>
        <v>中共党员</v>
      </c>
      <c r="H60" s="5" t="str">
        <f>"广西师范学院数学与应用数学"</f>
        <v>广西师范学院数学与应用数学</v>
      </c>
      <c r="I60" s="5" t="str">
        <f>"数学与应用数学"</f>
        <v>数学与应用数学</v>
      </c>
      <c r="J60" s="5" t="str">
        <f t="shared" si="48"/>
        <v>本科学士</v>
      </c>
      <c r="K60" s="5" t="str">
        <f t="shared" si="49"/>
        <v>2014.06.01</v>
      </c>
      <c r="L60" s="5" t="str">
        <f t="shared" si="29"/>
        <v>小学</v>
      </c>
      <c r="M60" s="5" t="str">
        <f t="shared" si="35"/>
        <v>103:数学</v>
      </c>
      <c r="N60" s="8">
        <v>23</v>
      </c>
      <c r="O60" s="8">
        <v>49.67</v>
      </c>
      <c r="P60" s="8">
        <f t="shared" si="36"/>
        <v>72.67</v>
      </c>
      <c r="Q60" s="9">
        <v>19</v>
      </c>
    </row>
    <row r="61" spans="1:17" ht="24" customHeight="1">
      <c r="A61" s="5">
        <v>59</v>
      </c>
      <c r="B61" s="5" t="str">
        <f>"韩金凤"</f>
        <v>韩金凤</v>
      </c>
      <c r="C61" s="5" t="str">
        <f t="shared" si="40"/>
        <v xml:space="preserve">女        </v>
      </c>
      <c r="D61" s="5" t="str">
        <f t="shared" si="28"/>
        <v>汉族</v>
      </c>
      <c r="E61" s="5" t="str">
        <f t="shared" si="50"/>
        <v>容县</v>
      </c>
      <c r="F61" s="5" t="str">
        <f>"1992年05月"</f>
        <v>1992年05月</v>
      </c>
      <c r="G61" s="5" t="str">
        <f t="shared" si="51"/>
        <v>共青团员</v>
      </c>
      <c r="H61" s="5" t="str">
        <f>"梧州学院小学教育"</f>
        <v>梧州学院小学教育</v>
      </c>
      <c r="I61" s="5" t="str">
        <f>"小学教育"</f>
        <v>小学教育</v>
      </c>
      <c r="J61" s="5" t="str">
        <f t="shared" si="48"/>
        <v>本科学士</v>
      </c>
      <c r="K61" s="5" t="str">
        <f t="shared" ref="K61:K66" si="53">"2017.06.01"</f>
        <v>2017.06.01</v>
      </c>
      <c r="L61" s="5" t="str">
        <f t="shared" si="29"/>
        <v>小学</v>
      </c>
      <c r="M61" s="5" t="str">
        <f t="shared" si="35"/>
        <v>103:数学</v>
      </c>
      <c r="N61" s="8">
        <v>21</v>
      </c>
      <c r="O61" s="8">
        <v>50.67</v>
      </c>
      <c r="P61" s="8">
        <f t="shared" si="36"/>
        <v>71.67</v>
      </c>
      <c r="Q61" s="9">
        <v>20</v>
      </c>
    </row>
    <row r="62" spans="1:17" ht="24" customHeight="1">
      <c r="A62" s="5">
        <v>60</v>
      </c>
      <c r="B62" s="5" t="str">
        <f>"苏钰智"</f>
        <v>苏钰智</v>
      </c>
      <c r="C62" s="5" t="str">
        <f t="shared" si="40"/>
        <v xml:space="preserve">女        </v>
      </c>
      <c r="D62" s="5" t="str">
        <f t="shared" si="28"/>
        <v>汉族</v>
      </c>
      <c r="E62" s="5" t="str">
        <f t="shared" si="50"/>
        <v>容县</v>
      </c>
      <c r="F62" s="5" t="str">
        <f>"1989年11月"</f>
        <v>1989年11月</v>
      </c>
      <c r="G62" s="5" t="str">
        <f>"群众"</f>
        <v>群众</v>
      </c>
      <c r="H62" s="5" t="str">
        <f>"桂林师范高等专科学校初等教育"</f>
        <v>桂林师范高等专科学校初等教育</v>
      </c>
      <c r="I62" s="5" t="str">
        <f>"初等教育"</f>
        <v>初等教育</v>
      </c>
      <c r="J62" s="5" t="str">
        <f t="shared" ref="J62:J67" si="54">"专科无学位"</f>
        <v>专科无学位</v>
      </c>
      <c r="K62" s="5" t="str">
        <f>"2012.06.01"</f>
        <v>2012.06.01</v>
      </c>
      <c r="L62" s="5" t="str">
        <f t="shared" si="29"/>
        <v>小学</v>
      </c>
      <c r="M62" s="5" t="str">
        <f t="shared" si="35"/>
        <v>103:数学</v>
      </c>
      <c r="N62" s="8">
        <v>21</v>
      </c>
      <c r="O62" s="8">
        <v>50.33</v>
      </c>
      <c r="P62" s="8">
        <f t="shared" si="36"/>
        <v>71.33</v>
      </c>
      <c r="Q62" s="9">
        <v>21</v>
      </c>
    </row>
    <row r="63" spans="1:17" ht="24" customHeight="1">
      <c r="A63" s="5">
        <v>61</v>
      </c>
      <c r="B63" s="5" t="str">
        <f>"刘丹丹"</f>
        <v>刘丹丹</v>
      </c>
      <c r="C63" s="5" t="str">
        <f t="shared" si="40"/>
        <v xml:space="preserve">女        </v>
      </c>
      <c r="D63" s="5" t="str">
        <f t="shared" si="28"/>
        <v>汉族</v>
      </c>
      <c r="E63" s="5" t="str">
        <f t="shared" si="50"/>
        <v>容县</v>
      </c>
      <c r="F63" s="5" t="str">
        <f>"1990年07月"</f>
        <v>1990年07月</v>
      </c>
      <c r="G63" s="5" t="str">
        <f t="shared" si="52"/>
        <v>中共党员</v>
      </c>
      <c r="H63" s="5" t="str">
        <f>"玉林师范学院市场营销"</f>
        <v>玉林师范学院市场营销</v>
      </c>
      <c r="I63" s="5" t="str">
        <f>"市场营销"</f>
        <v>市场营销</v>
      </c>
      <c r="J63" s="5" t="str">
        <f t="shared" ref="J63:J70" si="55">"本科学士"</f>
        <v>本科学士</v>
      </c>
      <c r="K63" s="5" t="str">
        <f>"2015.06.01"</f>
        <v>2015.06.01</v>
      </c>
      <c r="L63" s="5" t="str">
        <f t="shared" si="29"/>
        <v>小学</v>
      </c>
      <c r="M63" s="5" t="str">
        <f t="shared" si="35"/>
        <v>103:数学</v>
      </c>
      <c r="N63" s="8">
        <v>28</v>
      </c>
      <c r="O63" s="8">
        <v>43</v>
      </c>
      <c r="P63" s="8">
        <f t="shared" si="36"/>
        <v>71</v>
      </c>
      <c r="Q63" s="9">
        <v>22</v>
      </c>
    </row>
    <row r="64" spans="1:17" ht="24" customHeight="1">
      <c r="A64" s="5">
        <v>62</v>
      </c>
      <c r="B64" s="5" t="str">
        <f>"林燕"</f>
        <v>林燕</v>
      </c>
      <c r="C64" s="5" t="str">
        <f t="shared" si="40"/>
        <v xml:space="preserve">女        </v>
      </c>
      <c r="D64" s="5" t="str">
        <f t="shared" si="28"/>
        <v>汉族</v>
      </c>
      <c r="E64" s="5" t="str">
        <f t="shared" si="50"/>
        <v>容县</v>
      </c>
      <c r="F64" s="5" t="str">
        <f>"1995年06月"</f>
        <v>1995年06月</v>
      </c>
      <c r="G64" s="5" t="str">
        <f t="shared" si="51"/>
        <v>共青团员</v>
      </c>
      <c r="H64" s="5" t="str">
        <f>"广西科技师范学院数学教育"</f>
        <v>广西科技师范学院数学教育</v>
      </c>
      <c r="I64" s="5" t="str">
        <f>"数学教育"</f>
        <v>数学教育</v>
      </c>
      <c r="J64" s="5" t="str">
        <f t="shared" si="54"/>
        <v>专科无学位</v>
      </c>
      <c r="K64" s="5" t="str">
        <f t="shared" si="53"/>
        <v>2017.06.01</v>
      </c>
      <c r="L64" s="5" t="str">
        <f t="shared" si="29"/>
        <v>小学</v>
      </c>
      <c r="M64" s="5" t="str">
        <f t="shared" si="35"/>
        <v>103:数学</v>
      </c>
      <c r="N64" s="8">
        <v>23</v>
      </c>
      <c r="O64" s="8">
        <v>47.33</v>
      </c>
      <c r="P64" s="8">
        <f t="shared" si="36"/>
        <v>70.33</v>
      </c>
      <c r="Q64" s="9">
        <v>23</v>
      </c>
    </row>
    <row r="65" spans="1:17" ht="24" customHeight="1">
      <c r="A65" s="5">
        <v>63</v>
      </c>
      <c r="B65" s="5" t="str">
        <f>"韦杏梅"</f>
        <v>韦杏梅</v>
      </c>
      <c r="C65" s="5" t="str">
        <f t="shared" si="40"/>
        <v xml:space="preserve">女        </v>
      </c>
      <c r="D65" s="5" t="str">
        <f t="shared" si="28"/>
        <v>汉族</v>
      </c>
      <c r="E65" s="5" t="str">
        <f t="shared" si="50"/>
        <v>容县</v>
      </c>
      <c r="F65" s="5" t="str">
        <f>"1992年09月"</f>
        <v>1992年09月</v>
      </c>
      <c r="G65" s="5" t="str">
        <f t="shared" si="52"/>
        <v>中共党员</v>
      </c>
      <c r="H65" s="5" t="str">
        <f>"玉林师范学院数学与应用数学"</f>
        <v>玉林师范学院数学与应用数学</v>
      </c>
      <c r="I65" s="5" t="str">
        <f>"数学与应用数学"</f>
        <v>数学与应用数学</v>
      </c>
      <c r="J65" s="5" t="str">
        <f t="shared" si="55"/>
        <v>本科学士</v>
      </c>
      <c r="K65" s="5" t="str">
        <f t="shared" si="53"/>
        <v>2017.06.01</v>
      </c>
      <c r="L65" s="5" t="str">
        <f t="shared" si="29"/>
        <v>小学</v>
      </c>
      <c r="M65" s="5" t="str">
        <f t="shared" si="35"/>
        <v>103:数学</v>
      </c>
      <c r="N65" s="8">
        <v>24</v>
      </c>
      <c r="O65" s="8">
        <v>46</v>
      </c>
      <c r="P65" s="8">
        <f t="shared" si="36"/>
        <v>70</v>
      </c>
      <c r="Q65" s="9">
        <v>24</v>
      </c>
    </row>
    <row r="66" spans="1:17" s="10" customFormat="1" ht="24" customHeight="1">
      <c r="A66" s="5">
        <v>64</v>
      </c>
      <c r="B66" s="5" t="str">
        <f>"陀艳平"</f>
        <v>陀艳平</v>
      </c>
      <c r="C66" s="5" t="str">
        <f t="shared" si="40"/>
        <v xml:space="preserve">女        </v>
      </c>
      <c r="D66" s="5" t="str">
        <f t="shared" si="28"/>
        <v>汉族</v>
      </c>
      <c r="E66" s="5" t="str">
        <f t="shared" si="50"/>
        <v>容县</v>
      </c>
      <c r="F66" s="5" t="str">
        <f>"1996年01月"</f>
        <v>1996年01月</v>
      </c>
      <c r="G66" s="5" t="str">
        <f t="shared" ref="G66:G76" si="56">"共青团员"</f>
        <v>共青团员</v>
      </c>
      <c r="H66" s="5" t="str">
        <f>"玉林师范学院小学教育"</f>
        <v>玉林师范学院小学教育</v>
      </c>
      <c r="I66" s="5" t="str">
        <f>"小学教育"</f>
        <v>小学教育</v>
      </c>
      <c r="J66" s="5" t="str">
        <f t="shared" si="54"/>
        <v>专科无学位</v>
      </c>
      <c r="K66" s="5" t="str">
        <f t="shared" si="53"/>
        <v>2017.06.01</v>
      </c>
      <c r="L66" s="5" t="str">
        <f t="shared" si="29"/>
        <v>小学</v>
      </c>
      <c r="M66" s="5" t="str">
        <f t="shared" si="35"/>
        <v>103:数学</v>
      </c>
      <c r="N66" s="8">
        <v>23</v>
      </c>
      <c r="O66" s="8">
        <v>46.67</v>
      </c>
      <c r="P66" s="8">
        <f t="shared" si="36"/>
        <v>69.67</v>
      </c>
      <c r="Q66" s="9">
        <v>25</v>
      </c>
    </row>
    <row r="67" spans="1:17" ht="24" customHeight="1">
      <c r="A67" s="5">
        <v>65</v>
      </c>
      <c r="B67" s="5" t="str">
        <f>"宋雨珊"</f>
        <v>宋雨珊</v>
      </c>
      <c r="C67" s="5" t="str">
        <f t="shared" si="40"/>
        <v xml:space="preserve">女        </v>
      </c>
      <c r="D67" s="5" t="str">
        <f t="shared" si="28"/>
        <v>汉族</v>
      </c>
      <c r="E67" s="5" t="str">
        <f t="shared" si="50"/>
        <v>容县</v>
      </c>
      <c r="F67" s="5" t="str">
        <f>"1991年11月"</f>
        <v>1991年11月</v>
      </c>
      <c r="G67" s="5" t="str">
        <f t="shared" si="56"/>
        <v>共青团员</v>
      </c>
      <c r="H67" s="5" t="str">
        <f>"广西幼儿师范高等专科学校学前教育"</f>
        <v>广西幼儿师范高等专科学校学前教育</v>
      </c>
      <c r="I67" s="5" t="str">
        <f>"学前教育"</f>
        <v>学前教育</v>
      </c>
      <c r="J67" s="5" t="str">
        <f t="shared" si="54"/>
        <v>专科无学位</v>
      </c>
      <c r="K67" s="5" t="str">
        <f>"2013.06.01"</f>
        <v>2013.06.01</v>
      </c>
      <c r="L67" s="5" t="str">
        <f t="shared" si="29"/>
        <v>小学</v>
      </c>
      <c r="M67" s="5" t="str">
        <f t="shared" si="35"/>
        <v>103:数学</v>
      </c>
      <c r="N67" s="8">
        <v>23</v>
      </c>
      <c r="O67" s="8">
        <v>46.67</v>
      </c>
      <c r="P67" s="8">
        <f t="shared" si="36"/>
        <v>69.67</v>
      </c>
      <c r="Q67" s="9">
        <v>26</v>
      </c>
    </row>
    <row r="68" spans="1:17" ht="24" customHeight="1">
      <c r="A68" s="5">
        <v>66</v>
      </c>
      <c r="B68" s="5" t="str">
        <f>"廖韵"</f>
        <v>廖韵</v>
      </c>
      <c r="C68" s="5" t="str">
        <f t="shared" si="40"/>
        <v xml:space="preserve">女        </v>
      </c>
      <c r="D68" s="5" t="str">
        <f t="shared" si="28"/>
        <v>汉族</v>
      </c>
      <c r="E68" s="5" t="str">
        <f t="shared" si="50"/>
        <v>容县</v>
      </c>
      <c r="F68" s="5" t="str">
        <f>"1992年05月"</f>
        <v>1992年05月</v>
      </c>
      <c r="G68" s="5" t="str">
        <f>"群众"</f>
        <v>群众</v>
      </c>
      <c r="H68" s="5" t="str">
        <f>"河北经贸大学金融学"</f>
        <v>河北经贸大学金融学</v>
      </c>
      <c r="I68" s="5" t="str">
        <f>"金融学"</f>
        <v>金融学</v>
      </c>
      <c r="J68" s="5" t="str">
        <f t="shared" si="55"/>
        <v>本科学士</v>
      </c>
      <c r="K68" s="5" t="str">
        <f>"2014.07.01"</f>
        <v>2014.07.01</v>
      </c>
      <c r="L68" s="5" t="str">
        <f t="shared" si="29"/>
        <v>小学</v>
      </c>
      <c r="M68" s="5" t="str">
        <f t="shared" si="35"/>
        <v>103:数学</v>
      </c>
      <c r="N68" s="8">
        <v>24</v>
      </c>
      <c r="O68" s="8">
        <v>45.33</v>
      </c>
      <c r="P68" s="8">
        <f t="shared" si="36"/>
        <v>69.33</v>
      </c>
      <c r="Q68" s="9">
        <v>27</v>
      </c>
    </row>
    <row r="69" spans="1:17" s="10" customFormat="1" ht="24" customHeight="1">
      <c r="A69" s="5">
        <v>67</v>
      </c>
      <c r="B69" s="5" t="str">
        <f>"黄清华"</f>
        <v>黄清华</v>
      </c>
      <c r="C69" s="5" t="str">
        <f t="shared" si="40"/>
        <v xml:space="preserve">女        </v>
      </c>
      <c r="D69" s="5" t="str">
        <f t="shared" si="28"/>
        <v>汉族</v>
      </c>
      <c r="E69" s="5" t="str">
        <f t="shared" ref="E69:E78" si="57">"容县"</f>
        <v>容县</v>
      </c>
      <c r="F69" s="5" t="str">
        <f>"1994年02月"</f>
        <v>1994年02月</v>
      </c>
      <c r="G69" s="5" t="str">
        <f t="shared" si="56"/>
        <v>共青团员</v>
      </c>
      <c r="H69" s="5" t="str">
        <f>"广西师范学院师园学院小学教育"</f>
        <v>广西师范学院师园学院小学教育</v>
      </c>
      <c r="I69" s="5" t="str">
        <f t="shared" ref="I69:I74" si="58">"小学教育"</f>
        <v>小学教育</v>
      </c>
      <c r="J69" s="5" t="str">
        <f t="shared" si="55"/>
        <v>本科学士</v>
      </c>
      <c r="K69" s="5" t="str">
        <f t="shared" ref="K69:K72" si="59">"2017.06.01"</f>
        <v>2017.06.01</v>
      </c>
      <c r="L69" s="5" t="str">
        <f t="shared" si="29"/>
        <v>小学</v>
      </c>
      <c r="M69" s="5" t="str">
        <f t="shared" si="35"/>
        <v>103:数学</v>
      </c>
      <c r="N69" s="8">
        <v>24</v>
      </c>
      <c r="O69" s="8">
        <v>45.33</v>
      </c>
      <c r="P69" s="8">
        <f t="shared" si="36"/>
        <v>69.33</v>
      </c>
      <c r="Q69" s="9">
        <v>29</v>
      </c>
    </row>
    <row r="70" spans="1:17" ht="24" customHeight="1">
      <c r="A70" s="5">
        <v>68</v>
      </c>
      <c r="B70" s="5" t="str">
        <f>"杨炎明"</f>
        <v>杨炎明</v>
      </c>
      <c r="C70" s="5" t="str">
        <f t="shared" si="40"/>
        <v xml:space="preserve">女        </v>
      </c>
      <c r="D70" s="5" t="str">
        <f t="shared" si="28"/>
        <v>汉族</v>
      </c>
      <c r="E70" s="5" t="str">
        <f t="shared" ref="E70:E71" si="60">"玉林"</f>
        <v>玉林</v>
      </c>
      <c r="F70" s="5" t="str">
        <f>"1993年07月"</f>
        <v>1993年07月</v>
      </c>
      <c r="G70" s="5" t="str">
        <f t="shared" si="56"/>
        <v>共青团员</v>
      </c>
      <c r="H70" s="5" t="str">
        <f>"广西玉林师范学院园林"</f>
        <v>广西玉林师范学院园林</v>
      </c>
      <c r="I70" s="5" t="str">
        <f>"园林"</f>
        <v>园林</v>
      </c>
      <c r="J70" s="5" t="str">
        <f t="shared" si="55"/>
        <v>本科学士</v>
      </c>
      <c r="K70" s="5" t="str">
        <f t="shared" si="59"/>
        <v>2017.06.01</v>
      </c>
      <c r="L70" s="5" t="str">
        <f t="shared" si="29"/>
        <v>小学</v>
      </c>
      <c r="M70" s="5" t="str">
        <f t="shared" si="35"/>
        <v>103:数学</v>
      </c>
      <c r="N70" s="8">
        <v>20</v>
      </c>
      <c r="O70" s="8">
        <v>49</v>
      </c>
      <c r="P70" s="8">
        <f t="shared" si="36"/>
        <v>69</v>
      </c>
      <c r="Q70" s="9">
        <v>30</v>
      </c>
    </row>
    <row r="71" spans="1:17" s="10" customFormat="1" ht="24" customHeight="1">
      <c r="A71" s="5">
        <v>69</v>
      </c>
      <c r="B71" s="5" t="str">
        <f>"黄天兰"</f>
        <v>黄天兰</v>
      </c>
      <c r="C71" s="5" t="str">
        <f t="shared" si="40"/>
        <v xml:space="preserve">女        </v>
      </c>
      <c r="D71" s="5" t="str">
        <f t="shared" si="28"/>
        <v>汉族</v>
      </c>
      <c r="E71" s="5" t="str">
        <f t="shared" si="60"/>
        <v>玉林</v>
      </c>
      <c r="F71" s="5" t="str">
        <f>"1994年04月"</f>
        <v>1994年04月</v>
      </c>
      <c r="G71" s="5" t="str">
        <f t="shared" si="56"/>
        <v>共青团员</v>
      </c>
      <c r="H71" s="5" t="str">
        <f>"柳州城市职业学院学前教育"</f>
        <v>柳州城市职业学院学前教育</v>
      </c>
      <c r="I71" s="5" t="str">
        <f>"学前教育"</f>
        <v>学前教育</v>
      </c>
      <c r="J71" s="5" t="str">
        <f>"专科无学位"</f>
        <v>专科无学位</v>
      </c>
      <c r="K71" s="5" t="str">
        <f t="shared" si="59"/>
        <v>2017.06.01</v>
      </c>
      <c r="L71" s="5" t="str">
        <f t="shared" si="29"/>
        <v>小学</v>
      </c>
      <c r="M71" s="5" t="str">
        <f t="shared" si="35"/>
        <v>103:数学</v>
      </c>
      <c r="N71" s="8">
        <v>18</v>
      </c>
      <c r="O71" s="8">
        <v>50.67</v>
      </c>
      <c r="P71" s="8">
        <f t="shared" si="36"/>
        <v>68.67</v>
      </c>
      <c r="Q71" s="9">
        <v>31</v>
      </c>
    </row>
    <row r="72" spans="1:17" ht="24" customHeight="1">
      <c r="A72" s="5">
        <v>70</v>
      </c>
      <c r="B72" s="5" t="str">
        <f>"陆铿宇"</f>
        <v>陆铿宇</v>
      </c>
      <c r="C72" s="5" t="str">
        <f>"男        "</f>
        <v xml:space="preserve">男        </v>
      </c>
      <c r="D72" s="5" t="str">
        <f t="shared" si="28"/>
        <v>汉族</v>
      </c>
      <c r="E72" s="5" t="str">
        <f t="shared" si="57"/>
        <v>容县</v>
      </c>
      <c r="F72" s="5" t="str">
        <f>"1993年04月"</f>
        <v>1993年04月</v>
      </c>
      <c r="G72" s="5" t="str">
        <f t="shared" si="56"/>
        <v>共青团员</v>
      </c>
      <c r="H72" s="5" t="str">
        <f>"广西师范学院小学教育专业"</f>
        <v>广西师范学院小学教育专业</v>
      </c>
      <c r="I72" s="5" t="str">
        <f>"小学教育专业"</f>
        <v>小学教育专业</v>
      </c>
      <c r="J72" s="5" t="str">
        <f t="shared" ref="J72:J76" si="61">"本科学士"</f>
        <v>本科学士</v>
      </c>
      <c r="K72" s="5" t="str">
        <f t="shared" si="59"/>
        <v>2017.06.01</v>
      </c>
      <c r="L72" s="5" t="str">
        <f t="shared" si="29"/>
        <v>小学</v>
      </c>
      <c r="M72" s="5" t="str">
        <f t="shared" si="35"/>
        <v>103:数学</v>
      </c>
      <c r="N72" s="8">
        <v>23</v>
      </c>
      <c r="O72" s="8">
        <v>45.33</v>
      </c>
      <c r="P72" s="8">
        <f t="shared" si="36"/>
        <v>68.33</v>
      </c>
      <c r="Q72" s="9">
        <v>32</v>
      </c>
    </row>
    <row r="73" spans="1:17" ht="24" customHeight="1">
      <c r="A73" s="5">
        <v>71</v>
      </c>
      <c r="B73" s="5" t="str">
        <f>"封钊明"</f>
        <v>封钊明</v>
      </c>
      <c r="C73" s="5" t="str">
        <f t="shared" ref="C73:C111" si="62">"女        "</f>
        <v xml:space="preserve">女        </v>
      </c>
      <c r="D73" s="5" t="str">
        <f t="shared" si="28"/>
        <v>汉族</v>
      </c>
      <c r="E73" s="5" t="str">
        <f t="shared" si="57"/>
        <v>容县</v>
      </c>
      <c r="F73" s="5" t="str">
        <f>"1994年07月"</f>
        <v>1994年07月</v>
      </c>
      <c r="G73" s="5" t="str">
        <f t="shared" si="56"/>
        <v>共青团员</v>
      </c>
      <c r="H73" s="5" t="str">
        <f>"百色学院小学教育"</f>
        <v>百色学院小学教育</v>
      </c>
      <c r="I73" s="5" t="str">
        <f t="shared" si="58"/>
        <v>小学教育</v>
      </c>
      <c r="J73" s="5" t="str">
        <f t="shared" si="61"/>
        <v>本科学士</v>
      </c>
      <c r="K73" s="5" t="str">
        <f>"2017.07.01"</f>
        <v>2017.07.01</v>
      </c>
      <c r="L73" s="5" t="str">
        <f t="shared" si="29"/>
        <v>小学</v>
      </c>
      <c r="M73" s="5" t="str">
        <f t="shared" si="35"/>
        <v>103:数学</v>
      </c>
      <c r="N73" s="8">
        <v>22</v>
      </c>
      <c r="O73" s="8">
        <v>46.33</v>
      </c>
      <c r="P73" s="8">
        <f t="shared" si="36"/>
        <v>68.33</v>
      </c>
      <c r="Q73" s="9">
        <v>33</v>
      </c>
    </row>
    <row r="74" spans="1:17" ht="24" customHeight="1">
      <c r="A74" s="5">
        <v>72</v>
      </c>
      <c r="B74" s="5" t="str">
        <f>"梁美钰"</f>
        <v>梁美钰</v>
      </c>
      <c r="C74" s="5" t="str">
        <f t="shared" si="62"/>
        <v xml:space="preserve">女        </v>
      </c>
      <c r="D74" s="5" t="str">
        <f t="shared" si="28"/>
        <v>汉族</v>
      </c>
      <c r="E74" s="5" t="str">
        <f t="shared" si="57"/>
        <v>容县</v>
      </c>
      <c r="F74" s="5" t="str">
        <f>"1996年01月"</f>
        <v>1996年01月</v>
      </c>
      <c r="G74" s="5" t="str">
        <f t="shared" si="56"/>
        <v>共青团员</v>
      </c>
      <c r="H74" s="5" t="str">
        <f>"玉林师范学院小学教育"</f>
        <v>玉林师范学院小学教育</v>
      </c>
      <c r="I74" s="5" t="str">
        <f t="shared" si="58"/>
        <v>小学教育</v>
      </c>
      <c r="J74" s="5" t="str">
        <f>"专科无学位"</f>
        <v>专科无学位</v>
      </c>
      <c r="K74" s="5" t="str">
        <f>"2016.06.01"</f>
        <v>2016.06.01</v>
      </c>
      <c r="L74" s="5" t="str">
        <f t="shared" si="29"/>
        <v>小学</v>
      </c>
      <c r="M74" s="5" t="str">
        <f t="shared" si="35"/>
        <v>103:数学</v>
      </c>
      <c r="N74" s="8">
        <v>20</v>
      </c>
      <c r="O74" s="8">
        <v>48.33</v>
      </c>
      <c r="P74" s="8">
        <f t="shared" si="36"/>
        <v>68.33</v>
      </c>
      <c r="Q74" s="9">
        <v>34</v>
      </c>
    </row>
    <row r="75" spans="1:17" ht="24" customHeight="1">
      <c r="A75" s="5">
        <v>73</v>
      </c>
      <c r="B75" s="5" t="str">
        <f>"黄信铭"</f>
        <v>黄信铭</v>
      </c>
      <c r="C75" s="5" t="str">
        <f>"男        "</f>
        <v xml:space="preserve">男        </v>
      </c>
      <c r="D75" s="5" t="str">
        <f t="shared" si="28"/>
        <v>汉族</v>
      </c>
      <c r="E75" s="5" t="str">
        <f t="shared" si="57"/>
        <v>容县</v>
      </c>
      <c r="F75" s="5" t="str">
        <f>"1992年03月"</f>
        <v>1992年03月</v>
      </c>
      <c r="G75" s="5" t="str">
        <f t="shared" si="56"/>
        <v>共青团员</v>
      </c>
      <c r="H75" s="5" t="str">
        <f>"广西玉林师范学院测控技术与仪器"</f>
        <v>广西玉林师范学院测控技术与仪器</v>
      </c>
      <c r="I75" s="5" t="str">
        <f>"测控技术与仪器"</f>
        <v>测控技术与仪器</v>
      </c>
      <c r="J75" s="5" t="str">
        <f t="shared" si="61"/>
        <v>本科学士</v>
      </c>
      <c r="K75" s="5" t="str">
        <f>"2016.06.01"</f>
        <v>2016.06.01</v>
      </c>
      <c r="L75" s="5" t="str">
        <f t="shared" si="29"/>
        <v>小学</v>
      </c>
      <c r="M75" s="5" t="str">
        <f t="shared" si="35"/>
        <v>103:数学</v>
      </c>
      <c r="N75" s="8">
        <v>16</v>
      </c>
      <c r="O75" s="8">
        <v>52.33</v>
      </c>
      <c r="P75" s="8">
        <f t="shared" si="36"/>
        <v>68.33</v>
      </c>
      <c r="Q75" s="9">
        <v>35</v>
      </c>
    </row>
    <row r="76" spans="1:17" ht="24" customHeight="1">
      <c r="A76" s="5">
        <v>74</v>
      </c>
      <c r="B76" s="5" t="str">
        <f>"罗婷"</f>
        <v>罗婷</v>
      </c>
      <c r="C76" s="5" t="str">
        <f t="shared" si="62"/>
        <v xml:space="preserve">女        </v>
      </c>
      <c r="D76" s="5" t="str">
        <f t="shared" si="28"/>
        <v>汉族</v>
      </c>
      <c r="E76" s="5" t="str">
        <f t="shared" si="57"/>
        <v>容县</v>
      </c>
      <c r="F76" s="5" t="str">
        <f>"1993年01月"</f>
        <v>1993年01月</v>
      </c>
      <c r="G76" s="5" t="str">
        <f t="shared" si="56"/>
        <v>共青团员</v>
      </c>
      <c r="H76" s="5" t="str">
        <f>"梧州学院财务管理"</f>
        <v>梧州学院财务管理</v>
      </c>
      <c r="I76" s="5" t="str">
        <f>"财务管理"</f>
        <v>财务管理</v>
      </c>
      <c r="J76" s="5" t="str">
        <f t="shared" si="61"/>
        <v>本科学士</v>
      </c>
      <c r="K76" s="5" t="str">
        <f>"2017.07.01"</f>
        <v>2017.07.01</v>
      </c>
      <c r="L76" s="5" t="str">
        <f t="shared" si="29"/>
        <v>小学</v>
      </c>
      <c r="M76" s="5" t="str">
        <f t="shared" si="35"/>
        <v>103:数学</v>
      </c>
      <c r="N76" s="8">
        <v>22</v>
      </c>
      <c r="O76" s="8">
        <v>46</v>
      </c>
      <c r="P76" s="8">
        <f t="shared" si="36"/>
        <v>68</v>
      </c>
      <c r="Q76" s="9">
        <v>36</v>
      </c>
    </row>
    <row r="77" spans="1:17" ht="24" customHeight="1">
      <c r="A77" s="5">
        <v>75</v>
      </c>
      <c r="B77" s="5" t="str">
        <f>"李霜"</f>
        <v>李霜</v>
      </c>
      <c r="C77" s="5" t="str">
        <f t="shared" si="62"/>
        <v xml:space="preserve">女        </v>
      </c>
      <c r="D77" s="5" t="str">
        <f t="shared" si="28"/>
        <v>汉族</v>
      </c>
      <c r="E77" s="5" t="str">
        <f t="shared" si="57"/>
        <v>容县</v>
      </c>
      <c r="F77" s="5" t="str">
        <f>"1988年01月"</f>
        <v>1988年01月</v>
      </c>
      <c r="G77" s="5" t="str">
        <f>"群众"</f>
        <v>群众</v>
      </c>
      <c r="H77" s="5" t="str">
        <f>"广西民族师范学院数学教育"</f>
        <v>广西民族师范学院数学教育</v>
      </c>
      <c r="I77" s="5" t="str">
        <f>"数学教育"</f>
        <v>数学教育</v>
      </c>
      <c r="J77" s="5" t="str">
        <f>"专科无学位"</f>
        <v>专科无学位</v>
      </c>
      <c r="K77" s="5" t="str">
        <f>"2010.07.01"</f>
        <v>2010.07.01</v>
      </c>
      <c r="L77" s="5" t="str">
        <f t="shared" si="29"/>
        <v>小学</v>
      </c>
      <c r="M77" s="5" t="str">
        <f t="shared" si="35"/>
        <v>103:数学</v>
      </c>
      <c r="N77" s="8">
        <v>17</v>
      </c>
      <c r="O77" s="8">
        <v>51</v>
      </c>
      <c r="P77" s="8">
        <f t="shared" si="36"/>
        <v>68</v>
      </c>
      <c r="Q77" s="9">
        <v>37</v>
      </c>
    </row>
    <row r="78" spans="1:17" ht="24" customHeight="1">
      <c r="A78" s="5">
        <v>76</v>
      </c>
      <c r="B78" s="5" t="str">
        <f>"梁兰"</f>
        <v>梁兰</v>
      </c>
      <c r="C78" s="5" t="str">
        <f t="shared" si="62"/>
        <v xml:space="preserve">女        </v>
      </c>
      <c r="D78" s="5" t="str">
        <f t="shared" si="28"/>
        <v>汉族</v>
      </c>
      <c r="E78" s="5" t="str">
        <f t="shared" si="57"/>
        <v>容县</v>
      </c>
      <c r="F78" s="5" t="str">
        <f>"1995年01月"</f>
        <v>1995年01月</v>
      </c>
      <c r="G78" s="5" t="str">
        <f>"共青团员"</f>
        <v>共青团员</v>
      </c>
      <c r="H78" s="5" t="str">
        <f>"广西师范学院环境科学"</f>
        <v>广西师范学院环境科学</v>
      </c>
      <c r="I78" s="5" t="str">
        <f>"环境科学"</f>
        <v>环境科学</v>
      </c>
      <c r="J78" s="5" t="str">
        <f t="shared" ref="J78:J83" si="63">"本科学士"</f>
        <v>本科学士</v>
      </c>
      <c r="K78" s="5" t="str">
        <f>"2017.06.01"</f>
        <v>2017.06.01</v>
      </c>
      <c r="L78" s="5" t="str">
        <f t="shared" si="29"/>
        <v>小学</v>
      </c>
      <c r="M78" s="5" t="str">
        <f t="shared" si="35"/>
        <v>103:数学</v>
      </c>
      <c r="N78" s="8">
        <v>22</v>
      </c>
      <c r="O78" s="8">
        <v>45.33</v>
      </c>
      <c r="P78" s="8">
        <f t="shared" si="36"/>
        <v>67.33</v>
      </c>
      <c r="Q78" s="9">
        <v>38</v>
      </c>
    </row>
    <row r="79" spans="1:17" s="11" customFormat="1" ht="24" customHeight="1">
      <c r="A79" s="5">
        <v>77</v>
      </c>
      <c r="B79" s="14" t="str">
        <f>"蒙丽妃"</f>
        <v>蒙丽妃</v>
      </c>
      <c r="C79" s="14" t="str">
        <f t="shared" si="62"/>
        <v xml:space="preserve">女        </v>
      </c>
      <c r="D79" s="14" t="str">
        <f t="shared" si="28"/>
        <v>汉族</v>
      </c>
      <c r="E79" s="14" t="str">
        <f>"平南"</f>
        <v>平南</v>
      </c>
      <c r="F79" s="14" t="str">
        <f>"1993年08月"</f>
        <v>1993年08月</v>
      </c>
      <c r="G79" s="14" t="str">
        <f t="shared" ref="G79:G81" si="64">"中共党员"</f>
        <v>中共党员</v>
      </c>
      <c r="H79" s="14" t="str">
        <f>"玉林师范学院英语"</f>
        <v>玉林师范学院英语</v>
      </c>
      <c r="I79" s="14" t="str">
        <f t="shared" ref="I79:I83" si="65">"英语"</f>
        <v>英语</v>
      </c>
      <c r="J79" s="14" t="str">
        <f t="shared" si="63"/>
        <v>本科学士</v>
      </c>
      <c r="K79" s="14" t="str">
        <f>"2017.06.01"</f>
        <v>2017.06.01</v>
      </c>
      <c r="L79" s="14" t="str">
        <f t="shared" si="29"/>
        <v>小学</v>
      </c>
      <c r="M79" s="14" t="str">
        <f t="shared" ref="M79:M109" si="66">"104:英语"</f>
        <v>104:英语</v>
      </c>
      <c r="N79" s="15">
        <v>35</v>
      </c>
      <c r="O79" s="8">
        <v>49</v>
      </c>
      <c r="P79" s="16">
        <f t="shared" ref="P79:P109" si="67">N79+O79</f>
        <v>84</v>
      </c>
      <c r="Q79" s="16">
        <v>1</v>
      </c>
    </row>
    <row r="80" spans="1:17" s="12" customFormat="1" ht="24" customHeight="1">
      <c r="A80" s="5">
        <v>78</v>
      </c>
      <c r="B80" s="14" t="str">
        <f>"陆锦梅"</f>
        <v>陆锦梅</v>
      </c>
      <c r="C80" s="14" t="str">
        <f t="shared" si="62"/>
        <v xml:space="preserve">女        </v>
      </c>
      <c r="D80" s="14" t="str">
        <f>"壮族"</f>
        <v>壮族</v>
      </c>
      <c r="E80" s="14" t="str">
        <f>"武宣"</f>
        <v>武宣</v>
      </c>
      <c r="F80" s="14" t="str">
        <f>"1987年11月"</f>
        <v>1987年11月</v>
      </c>
      <c r="G80" s="14" t="str">
        <f t="shared" si="64"/>
        <v>中共党员</v>
      </c>
      <c r="H80" s="14" t="str">
        <f>"玉林师范学院小学教育语文和英语方向"</f>
        <v>玉林师范学院小学教育语文和英语方向</v>
      </c>
      <c r="I80" s="14" t="str">
        <f>"小学教育语文和英语方向"</f>
        <v>小学教育语文和英语方向</v>
      </c>
      <c r="J80" s="14" t="str">
        <f t="shared" si="63"/>
        <v>本科学士</v>
      </c>
      <c r="K80" s="14" t="str">
        <f t="shared" ref="K80:K85" si="68">"2014.06.01"</f>
        <v>2014.06.01</v>
      </c>
      <c r="L80" s="14" t="str">
        <f t="shared" si="29"/>
        <v>小学</v>
      </c>
      <c r="M80" s="14" t="str">
        <f t="shared" si="66"/>
        <v>104:英语</v>
      </c>
      <c r="N80" s="15">
        <v>35</v>
      </c>
      <c r="O80" s="8">
        <v>48.33</v>
      </c>
      <c r="P80" s="16">
        <f t="shared" si="67"/>
        <v>83.33</v>
      </c>
      <c r="Q80" s="16">
        <v>2</v>
      </c>
    </row>
    <row r="81" spans="1:17" s="11" customFormat="1" ht="24" customHeight="1">
      <c r="A81" s="5">
        <v>79</v>
      </c>
      <c r="B81" s="14" t="str">
        <f>"黄芳芳"</f>
        <v>黄芳芳</v>
      </c>
      <c r="C81" s="14" t="str">
        <f t="shared" si="62"/>
        <v xml:space="preserve">女        </v>
      </c>
      <c r="D81" s="14" t="str">
        <f t="shared" ref="D81:D112" si="69">"汉族"</f>
        <v>汉族</v>
      </c>
      <c r="E81" s="14" t="str">
        <f t="shared" ref="E81:E86" si="70">"容县"</f>
        <v>容县</v>
      </c>
      <c r="F81" s="14" t="str">
        <f>"1988年01月"</f>
        <v>1988年01月</v>
      </c>
      <c r="G81" s="14" t="str">
        <f t="shared" si="64"/>
        <v>中共党员</v>
      </c>
      <c r="H81" s="14" t="str">
        <f>"广西师范大学漓江学院英语"</f>
        <v>广西师范大学漓江学院英语</v>
      </c>
      <c r="I81" s="14" t="str">
        <f t="shared" si="65"/>
        <v>英语</v>
      </c>
      <c r="J81" s="14" t="str">
        <f t="shared" si="63"/>
        <v>本科学士</v>
      </c>
      <c r="K81" s="14" t="str">
        <f>"2011.06.01"</f>
        <v>2011.06.01</v>
      </c>
      <c r="L81" s="14" t="str">
        <f t="shared" si="29"/>
        <v>小学</v>
      </c>
      <c r="M81" s="14" t="str">
        <f t="shared" si="66"/>
        <v>104:英语</v>
      </c>
      <c r="N81" s="15">
        <v>33</v>
      </c>
      <c r="O81" s="8">
        <v>50.33</v>
      </c>
      <c r="P81" s="16">
        <f t="shared" si="67"/>
        <v>83.33</v>
      </c>
      <c r="Q81" s="16">
        <v>3</v>
      </c>
    </row>
    <row r="82" spans="1:17" s="11" customFormat="1" ht="24" customHeight="1">
      <c r="A82" s="5">
        <v>80</v>
      </c>
      <c r="B82" s="14" t="str">
        <f>"黄梵"</f>
        <v>黄梵</v>
      </c>
      <c r="C82" s="14" t="str">
        <f t="shared" si="62"/>
        <v xml:space="preserve">女        </v>
      </c>
      <c r="D82" s="14" t="str">
        <f t="shared" si="69"/>
        <v>汉族</v>
      </c>
      <c r="E82" s="14" t="str">
        <f t="shared" si="70"/>
        <v>容县</v>
      </c>
      <c r="F82" s="14" t="str">
        <f>"1993年12月"</f>
        <v>1993年12月</v>
      </c>
      <c r="G82" s="14" t="str">
        <f t="shared" ref="G82:G88" si="71">"共青团员"</f>
        <v>共青团员</v>
      </c>
      <c r="H82" s="14" t="str">
        <f>"广西师范大学商务英语"</f>
        <v>广西师范大学商务英语</v>
      </c>
      <c r="I82" s="14" t="str">
        <f>"商务英语"</f>
        <v>商务英语</v>
      </c>
      <c r="J82" s="14" t="str">
        <f t="shared" si="63"/>
        <v>本科学士</v>
      </c>
      <c r="K82" s="14" t="str">
        <f>"2016.06.01"</f>
        <v>2016.06.01</v>
      </c>
      <c r="L82" s="14" t="str">
        <f t="shared" si="29"/>
        <v>小学</v>
      </c>
      <c r="M82" s="14" t="str">
        <f t="shared" si="66"/>
        <v>104:英语</v>
      </c>
      <c r="N82" s="15">
        <v>29</v>
      </c>
      <c r="O82" s="8">
        <v>48</v>
      </c>
      <c r="P82" s="16">
        <f t="shared" si="67"/>
        <v>77</v>
      </c>
      <c r="Q82" s="16">
        <v>4</v>
      </c>
    </row>
    <row r="83" spans="1:17" s="11" customFormat="1" ht="24" customHeight="1">
      <c r="A83" s="5">
        <v>81</v>
      </c>
      <c r="B83" s="14" t="str">
        <f>"杨英兰"</f>
        <v>杨英兰</v>
      </c>
      <c r="C83" s="14" t="str">
        <f t="shared" si="62"/>
        <v xml:space="preserve">女        </v>
      </c>
      <c r="D83" s="14" t="str">
        <f t="shared" si="69"/>
        <v>汉族</v>
      </c>
      <c r="E83" s="14" t="str">
        <f>"玉林"</f>
        <v>玉林</v>
      </c>
      <c r="F83" s="14" t="str">
        <f>"1989年10月"</f>
        <v>1989年10月</v>
      </c>
      <c r="G83" s="14" t="str">
        <f>"中共党员"</f>
        <v>中共党员</v>
      </c>
      <c r="H83" s="14" t="str">
        <f>"玉林师范学院英语"</f>
        <v>玉林师范学院英语</v>
      </c>
      <c r="I83" s="14" t="str">
        <f t="shared" si="65"/>
        <v>英语</v>
      </c>
      <c r="J83" s="14" t="str">
        <f t="shared" si="63"/>
        <v>本科学士</v>
      </c>
      <c r="K83" s="14" t="str">
        <f t="shared" si="68"/>
        <v>2014.06.01</v>
      </c>
      <c r="L83" s="14" t="str">
        <f t="shared" si="29"/>
        <v>小学</v>
      </c>
      <c r="M83" s="14" t="str">
        <f t="shared" si="66"/>
        <v>104:英语</v>
      </c>
      <c r="N83" s="15">
        <v>25</v>
      </c>
      <c r="O83" s="8">
        <v>51.67</v>
      </c>
      <c r="P83" s="16">
        <f t="shared" si="67"/>
        <v>76.67</v>
      </c>
      <c r="Q83" s="16">
        <v>5</v>
      </c>
    </row>
    <row r="84" spans="1:17" s="12" customFormat="1" ht="24" customHeight="1">
      <c r="A84" s="5">
        <v>82</v>
      </c>
      <c r="B84" s="14" t="str">
        <f>"何泽容"</f>
        <v>何泽容</v>
      </c>
      <c r="C84" s="14" t="str">
        <f t="shared" si="62"/>
        <v xml:space="preserve">女        </v>
      </c>
      <c r="D84" s="14" t="str">
        <f t="shared" si="69"/>
        <v>汉族</v>
      </c>
      <c r="E84" s="14" t="str">
        <f>"北流市"</f>
        <v>北流市</v>
      </c>
      <c r="F84" s="14" t="str">
        <f>"1989年04月"</f>
        <v>1989年04月</v>
      </c>
      <c r="G84" s="14" t="str">
        <f>"群众"</f>
        <v>群众</v>
      </c>
      <c r="H84" s="14" t="str">
        <f>"桂林师范高等专科学校英语教育"</f>
        <v>桂林师范高等专科学校英语教育</v>
      </c>
      <c r="I84" s="14" t="str">
        <f>"英语教育"</f>
        <v>英语教育</v>
      </c>
      <c r="J84" s="14" t="str">
        <f>"专科无学位"</f>
        <v>专科无学位</v>
      </c>
      <c r="K84" s="14" t="str">
        <f>"2013.06.01"</f>
        <v>2013.06.01</v>
      </c>
      <c r="L84" s="14" t="str">
        <f t="shared" si="29"/>
        <v>小学</v>
      </c>
      <c r="M84" s="14" t="str">
        <f t="shared" si="66"/>
        <v>104:英语</v>
      </c>
      <c r="N84" s="15">
        <v>25</v>
      </c>
      <c r="O84" s="8">
        <v>50</v>
      </c>
      <c r="P84" s="16">
        <f t="shared" si="67"/>
        <v>75</v>
      </c>
      <c r="Q84" s="16">
        <v>6</v>
      </c>
    </row>
    <row r="85" spans="1:17" s="11" customFormat="1" ht="24" customHeight="1">
      <c r="A85" s="5">
        <v>83</v>
      </c>
      <c r="B85" s="14" t="str">
        <f>"宁译婵"</f>
        <v>宁译婵</v>
      </c>
      <c r="C85" s="14" t="str">
        <f t="shared" si="62"/>
        <v xml:space="preserve">女        </v>
      </c>
      <c r="D85" s="14" t="str">
        <f t="shared" si="69"/>
        <v>汉族</v>
      </c>
      <c r="E85" s="14" t="str">
        <f>"灵山县"</f>
        <v>灵山县</v>
      </c>
      <c r="F85" s="14" t="str">
        <f>"1990年03月"</f>
        <v>1990年03月</v>
      </c>
      <c r="G85" s="14" t="str">
        <f t="shared" si="71"/>
        <v>共青团员</v>
      </c>
      <c r="H85" s="14" t="str">
        <f>"天津师范大学津沽学院英语"</f>
        <v>天津师范大学津沽学院英语</v>
      </c>
      <c r="I85" s="14" t="str">
        <f t="shared" ref="I85:I88" si="72">"英语"</f>
        <v>英语</v>
      </c>
      <c r="J85" s="14" t="str">
        <f t="shared" ref="J85:J88" si="73">"本科学士"</f>
        <v>本科学士</v>
      </c>
      <c r="K85" s="14" t="str">
        <f t="shared" si="68"/>
        <v>2014.06.01</v>
      </c>
      <c r="L85" s="14" t="str">
        <f t="shared" si="29"/>
        <v>小学</v>
      </c>
      <c r="M85" s="14" t="str">
        <f t="shared" si="66"/>
        <v>104:英语</v>
      </c>
      <c r="N85" s="15">
        <v>25</v>
      </c>
      <c r="O85" s="8">
        <v>50</v>
      </c>
      <c r="P85" s="16">
        <f t="shared" si="67"/>
        <v>75</v>
      </c>
      <c r="Q85" s="16">
        <v>7</v>
      </c>
    </row>
    <row r="86" spans="1:17" s="11" customFormat="1" ht="24" customHeight="1">
      <c r="A86" s="5">
        <v>84</v>
      </c>
      <c r="B86" s="14" t="str">
        <f>"饶漫俐"</f>
        <v>饶漫俐</v>
      </c>
      <c r="C86" s="14" t="str">
        <f t="shared" si="62"/>
        <v xml:space="preserve">女        </v>
      </c>
      <c r="D86" s="14" t="str">
        <f t="shared" si="69"/>
        <v>汉族</v>
      </c>
      <c r="E86" s="14" t="str">
        <f t="shared" si="70"/>
        <v>容县</v>
      </c>
      <c r="F86" s="14" t="str">
        <f>"1989年04月"</f>
        <v>1989年04月</v>
      </c>
      <c r="G86" s="14" t="str">
        <f t="shared" si="71"/>
        <v>共青团员</v>
      </c>
      <c r="H86" s="14" t="str">
        <f>"湘潭大学英语"</f>
        <v>湘潭大学英语</v>
      </c>
      <c r="I86" s="14" t="str">
        <f t="shared" si="72"/>
        <v>英语</v>
      </c>
      <c r="J86" s="14" t="str">
        <f t="shared" si="73"/>
        <v>本科学士</v>
      </c>
      <c r="K86" s="14" t="str">
        <f>"2013.06.01"</f>
        <v>2013.06.01</v>
      </c>
      <c r="L86" s="14" t="str">
        <f t="shared" si="29"/>
        <v>小学</v>
      </c>
      <c r="M86" s="14" t="str">
        <f t="shared" si="66"/>
        <v>104:英语</v>
      </c>
      <c r="N86" s="15">
        <v>26</v>
      </c>
      <c r="O86" s="8">
        <v>48</v>
      </c>
      <c r="P86" s="16">
        <f t="shared" si="67"/>
        <v>74</v>
      </c>
      <c r="Q86" s="16">
        <v>8</v>
      </c>
    </row>
    <row r="87" spans="1:17" s="11" customFormat="1" ht="24" customHeight="1">
      <c r="A87" s="5">
        <v>85</v>
      </c>
      <c r="B87" s="14" t="str">
        <f>"赖泓妃"</f>
        <v>赖泓妃</v>
      </c>
      <c r="C87" s="14" t="str">
        <f t="shared" si="62"/>
        <v xml:space="preserve">女        </v>
      </c>
      <c r="D87" s="14" t="str">
        <f t="shared" si="69"/>
        <v>汉族</v>
      </c>
      <c r="E87" s="14" t="s">
        <v>18</v>
      </c>
      <c r="F87" s="14" t="str">
        <f>"1993年06月"</f>
        <v>1993年06月</v>
      </c>
      <c r="G87" s="14" t="str">
        <f t="shared" si="71"/>
        <v>共青团员</v>
      </c>
      <c r="H87" s="14" t="str">
        <f>"河池学院英语"</f>
        <v>河池学院英语</v>
      </c>
      <c r="I87" s="14" t="str">
        <f t="shared" si="72"/>
        <v>英语</v>
      </c>
      <c r="J87" s="14" t="str">
        <f t="shared" si="73"/>
        <v>本科学士</v>
      </c>
      <c r="K87" s="14" t="str">
        <f>"2017.06.01"</f>
        <v>2017.06.01</v>
      </c>
      <c r="L87" s="14" t="str">
        <f t="shared" si="29"/>
        <v>小学</v>
      </c>
      <c r="M87" s="14" t="str">
        <f t="shared" si="66"/>
        <v>104:英语</v>
      </c>
      <c r="N87" s="15">
        <v>25</v>
      </c>
      <c r="O87" s="8">
        <v>48</v>
      </c>
      <c r="P87" s="16">
        <f t="shared" si="67"/>
        <v>73</v>
      </c>
      <c r="Q87" s="16">
        <v>9</v>
      </c>
    </row>
    <row r="88" spans="1:17" s="11" customFormat="1" ht="24" customHeight="1">
      <c r="A88" s="5">
        <v>86</v>
      </c>
      <c r="B88" s="14" t="str">
        <f>"李玮滢"</f>
        <v>李玮滢</v>
      </c>
      <c r="C88" s="14" t="str">
        <f t="shared" si="62"/>
        <v xml:space="preserve">女        </v>
      </c>
      <c r="D88" s="14" t="str">
        <f t="shared" si="69"/>
        <v>汉族</v>
      </c>
      <c r="E88" s="14" t="str">
        <f t="shared" ref="E88:E90" si="74">"容县"</f>
        <v>容县</v>
      </c>
      <c r="F88" s="14" t="str">
        <f>"1993年05月"</f>
        <v>1993年05月</v>
      </c>
      <c r="G88" s="14" t="str">
        <f t="shared" si="71"/>
        <v>共青团员</v>
      </c>
      <c r="H88" s="14" t="str">
        <f>"陕西中医药大学英语"</f>
        <v>陕西中医药大学英语</v>
      </c>
      <c r="I88" s="14" t="str">
        <f t="shared" si="72"/>
        <v>英语</v>
      </c>
      <c r="J88" s="14" t="str">
        <f t="shared" si="73"/>
        <v>本科学士</v>
      </c>
      <c r="K88" s="14" t="str">
        <f>"2017.07.01"</f>
        <v>2017.07.01</v>
      </c>
      <c r="L88" s="14" t="str">
        <f t="shared" si="29"/>
        <v>小学</v>
      </c>
      <c r="M88" s="14" t="str">
        <f t="shared" si="66"/>
        <v>104:英语</v>
      </c>
      <c r="N88" s="15">
        <v>25</v>
      </c>
      <c r="O88" s="8">
        <v>47.67</v>
      </c>
      <c r="P88" s="16">
        <f t="shared" si="67"/>
        <v>72.67</v>
      </c>
      <c r="Q88" s="16">
        <v>10</v>
      </c>
    </row>
    <row r="89" spans="1:17" s="11" customFormat="1" ht="24" customHeight="1">
      <c r="A89" s="5">
        <v>87</v>
      </c>
      <c r="B89" s="14" t="str">
        <f>"周燕群"</f>
        <v>周燕群</v>
      </c>
      <c r="C89" s="14" t="str">
        <f t="shared" si="62"/>
        <v xml:space="preserve">女        </v>
      </c>
      <c r="D89" s="14" t="str">
        <f t="shared" si="69"/>
        <v>汉族</v>
      </c>
      <c r="E89" s="14" t="str">
        <f t="shared" si="74"/>
        <v>容县</v>
      </c>
      <c r="F89" s="14" t="str">
        <f>"1988年10月"</f>
        <v>1988年10月</v>
      </c>
      <c r="G89" s="14" t="str">
        <f>"中共党员"</f>
        <v>中共党员</v>
      </c>
      <c r="H89" s="14" t="str">
        <f>"湛江师范学院英语教育"</f>
        <v>湛江师范学院英语教育</v>
      </c>
      <c r="I89" s="14" t="str">
        <f>"英语教育"</f>
        <v>英语教育</v>
      </c>
      <c r="J89" s="14" t="str">
        <f>"专科无学位"</f>
        <v>专科无学位</v>
      </c>
      <c r="K89" s="14" t="str">
        <f>"2009.06.01"</f>
        <v>2009.06.01</v>
      </c>
      <c r="L89" s="14" t="str">
        <f t="shared" si="29"/>
        <v>小学</v>
      </c>
      <c r="M89" s="14" t="str">
        <f t="shared" si="66"/>
        <v>104:英语</v>
      </c>
      <c r="N89" s="15">
        <v>22</v>
      </c>
      <c r="O89" s="8">
        <v>50</v>
      </c>
      <c r="P89" s="16">
        <f t="shared" si="67"/>
        <v>72</v>
      </c>
      <c r="Q89" s="16">
        <v>11</v>
      </c>
    </row>
    <row r="90" spans="1:17" s="11" customFormat="1" ht="24" customHeight="1">
      <c r="A90" s="5">
        <v>88</v>
      </c>
      <c r="B90" s="14" t="str">
        <f>"邓钘钘"</f>
        <v>邓钘钘</v>
      </c>
      <c r="C90" s="14" t="str">
        <f t="shared" si="62"/>
        <v xml:space="preserve">女        </v>
      </c>
      <c r="D90" s="14" t="str">
        <f t="shared" si="69"/>
        <v>汉族</v>
      </c>
      <c r="E90" s="14" t="str">
        <f t="shared" si="74"/>
        <v>容县</v>
      </c>
      <c r="F90" s="14" t="str">
        <f>"1994年01月"</f>
        <v>1994年01月</v>
      </c>
      <c r="G90" s="14" t="str">
        <f t="shared" ref="G90:G103" si="75">"共青团员"</f>
        <v>共青团员</v>
      </c>
      <c r="H90" s="14" t="str">
        <f>"广西大学行健文理学院英语"</f>
        <v>广西大学行健文理学院英语</v>
      </c>
      <c r="I90" s="14" t="str">
        <f t="shared" ref="I90:I93" si="76">"英语"</f>
        <v>英语</v>
      </c>
      <c r="J90" s="14" t="str">
        <f t="shared" ref="J90:J93" si="77">"本科学士"</f>
        <v>本科学士</v>
      </c>
      <c r="K90" s="14" t="str">
        <f>"2016.06.01"</f>
        <v>2016.06.01</v>
      </c>
      <c r="L90" s="14" t="str">
        <f t="shared" si="29"/>
        <v>小学</v>
      </c>
      <c r="M90" s="14" t="str">
        <f t="shared" si="66"/>
        <v>104:英语</v>
      </c>
      <c r="N90" s="15">
        <v>21</v>
      </c>
      <c r="O90" s="8">
        <v>50</v>
      </c>
      <c r="P90" s="16">
        <f t="shared" si="67"/>
        <v>71</v>
      </c>
      <c r="Q90" s="16">
        <v>12</v>
      </c>
    </row>
    <row r="91" spans="1:17" s="11" customFormat="1" ht="24" customHeight="1">
      <c r="A91" s="5">
        <v>89</v>
      </c>
      <c r="B91" s="14" t="str">
        <f>"李永兰"</f>
        <v>李永兰</v>
      </c>
      <c r="C91" s="14" t="str">
        <f t="shared" si="62"/>
        <v xml:space="preserve">女        </v>
      </c>
      <c r="D91" s="14" t="str">
        <f t="shared" si="69"/>
        <v>汉族</v>
      </c>
      <c r="E91" s="14" t="str">
        <f>"玉林"</f>
        <v>玉林</v>
      </c>
      <c r="F91" s="14" t="str">
        <f>"1991年10月"</f>
        <v>1991年10月</v>
      </c>
      <c r="G91" s="14" t="str">
        <f t="shared" si="75"/>
        <v>共青团员</v>
      </c>
      <c r="H91" s="14" t="str">
        <f>"广西科技大学英语"</f>
        <v>广西科技大学英语</v>
      </c>
      <c r="I91" s="14" t="str">
        <f t="shared" si="76"/>
        <v>英语</v>
      </c>
      <c r="J91" s="14" t="str">
        <f t="shared" si="77"/>
        <v>本科学士</v>
      </c>
      <c r="K91" s="14" t="str">
        <f>"2016.06.01"</f>
        <v>2016.06.01</v>
      </c>
      <c r="L91" s="14" t="str">
        <f t="shared" si="29"/>
        <v>小学</v>
      </c>
      <c r="M91" s="14" t="str">
        <f t="shared" si="66"/>
        <v>104:英语</v>
      </c>
      <c r="N91" s="15">
        <v>24.5</v>
      </c>
      <c r="O91" s="8">
        <v>46.33</v>
      </c>
      <c r="P91" s="16">
        <f t="shared" si="67"/>
        <v>70.83</v>
      </c>
      <c r="Q91" s="16">
        <v>13</v>
      </c>
    </row>
    <row r="92" spans="1:17" s="11" customFormat="1" ht="24" customHeight="1">
      <c r="A92" s="5">
        <v>90</v>
      </c>
      <c r="B92" s="14" t="str">
        <f>"覃洁华"</f>
        <v>覃洁华</v>
      </c>
      <c r="C92" s="14" t="str">
        <f t="shared" si="62"/>
        <v xml:space="preserve">女        </v>
      </c>
      <c r="D92" s="14" t="str">
        <f t="shared" si="69"/>
        <v>汉族</v>
      </c>
      <c r="E92" s="14" t="str">
        <f t="shared" ref="E92:E98" si="78">"容县"</f>
        <v>容县</v>
      </c>
      <c r="F92" s="14" t="str">
        <f>"1989年10月"</f>
        <v>1989年10月</v>
      </c>
      <c r="G92" s="14" t="str">
        <f>"中共党员"</f>
        <v>中共党员</v>
      </c>
      <c r="H92" s="14" t="str">
        <f>"广西民族大学英语"</f>
        <v>广西民族大学英语</v>
      </c>
      <c r="I92" s="14" t="str">
        <f t="shared" si="76"/>
        <v>英语</v>
      </c>
      <c r="J92" s="14" t="str">
        <f t="shared" si="77"/>
        <v>本科学士</v>
      </c>
      <c r="K92" s="14" t="str">
        <f>"2012.07.01"</f>
        <v>2012.07.01</v>
      </c>
      <c r="L92" s="14" t="str">
        <f t="shared" si="29"/>
        <v>小学</v>
      </c>
      <c r="M92" s="14" t="str">
        <f t="shared" si="66"/>
        <v>104:英语</v>
      </c>
      <c r="N92" s="15">
        <v>23</v>
      </c>
      <c r="O92" s="8">
        <v>47</v>
      </c>
      <c r="P92" s="16">
        <f t="shared" si="67"/>
        <v>70</v>
      </c>
      <c r="Q92" s="16">
        <v>14</v>
      </c>
    </row>
    <row r="93" spans="1:17" s="11" customFormat="1" ht="24" customHeight="1">
      <c r="A93" s="5">
        <v>91</v>
      </c>
      <c r="B93" s="14" t="str">
        <f>"高燕凤"</f>
        <v>高燕凤</v>
      </c>
      <c r="C93" s="14" t="str">
        <f t="shared" si="62"/>
        <v xml:space="preserve">女        </v>
      </c>
      <c r="D93" s="14" t="str">
        <f t="shared" si="69"/>
        <v>汉族</v>
      </c>
      <c r="E93" s="14" t="s">
        <v>19</v>
      </c>
      <c r="F93" s="14" t="str">
        <f>"1993年12月"</f>
        <v>1993年12月</v>
      </c>
      <c r="G93" s="14" t="str">
        <f t="shared" si="75"/>
        <v>共青团员</v>
      </c>
      <c r="H93" s="14" t="str">
        <f>"玉林师范学院英语"</f>
        <v>玉林师范学院英语</v>
      </c>
      <c r="I93" s="14" t="str">
        <f t="shared" si="76"/>
        <v>英语</v>
      </c>
      <c r="J93" s="14" t="str">
        <f t="shared" si="77"/>
        <v>本科学士</v>
      </c>
      <c r="K93" s="14" t="str">
        <f>"2017.06.01"</f>
        <v>2017.06.01</v>
      </c>
      <c r="L93" s="14" t="str">
        <f t="shared" si="29"/>
        <v>小学</v>
      </c>
      <c r="M93" s="14" t="str">
        <f t="shared" si="66"/>
        <v>104:英语</v>
      </c>
      <c r="N93" s="15">
        <v>22</v>
      </c>
      <c r="O93" s="8">
        <v>47.67</v>
      </c>
      <c r="P93" s="16">
        <f t="shared" si="67"/>
        <v>69.67</v>
      </c>
      <c r="Q93" s="16">
        <v>15</v>
      </c>
    </row>
    <row r="94" spans="1:17" s="12" customFormat="1" ht="24" customHeight="1">
      <c r="A94" s="5">
        <v>92</v>
      </c>
      <c r="B94" s="14" t="str">
        <f>"梁锦梅"</f>
        <v>梁锦梅</v>
      </c>
      <c r="C94" s="14" t="str">
        <f t="shared" si="62"/>
        <v xml:space="preserve">女        </v>
      </c>
      <c r="D94" s="14" t="str">
        <f t="shared" si="69"/>
        <v>汉族</v>
      </c>
      <c r="E94" s="14" t="str">
        <f t="shared" si="78"/>
        <v>容县</v>
      </c>
      <c r="F94" s="14" t="str">
        <f>"1990年09月"</f>
        <v>1990年09月</v>
      </c>
      <c r="G94" s="14" t="str">
        <f t="shared" si="75"/>
        <v>共青团员</v>
      </c>
      <c r="H94" s="14" t="str">
        <f>"广西教育学院英语教育"</f>
        <v>广西教育学院英语教育</v>
      </c>
      <c r="I94" s="14" t="str">
        <f t="shared" ref="I94:I99" si="79">"英语教育"</f>
        <v>英语教育</v>
      </c>
      <c r="J94" s="14" t="str">
        <f t="shared" ref="J94:J99" si="80">"专科无学位"</f>
        <v>专科无学位</v>
      </c>
      <c r="K94" s="14" t="str">
        <f>"2012.06.01"</f>
        <v>2012.06.01</v>
      </c>
      <c r="L94" s="14" t="str">
        <f t="shared" si="29"/>
        <v>小学</v>
      </c>
      <c r="M94" s="14" t="str">
        <f t="shared" si="66"/>
        <v>104:英语</v>
      </c>
      <c r="N94" s="15">
        <v>19</v>
      </c>
      <c r="O94" s="8">
        <v>50</v>
      </c>
      <c r="P94" s="16">
        <f t="shared" si="67"/>
        <v>69</v>
      </c>
      <c r="Q94" s="16">
        <v>16</v>
      </c>
    </row>
    <row r="95" spans="1:17" s="11" customFormat="1" ht="24" customHeight="1">
      <c r="A95" s="5">
        <v>93</v>
      </c>
      <c r="B95" s="14" t="str">
        <f>"李莹"</f>
        <v>李莹</v>
      </c>
      <c r="C95" s="14" t="str">
        <f t="shared" si="62"/>
        <v xml:space="preserve">女        </v>
      </c>
      <c r="D95" s="14" t="str">
        <f t="shared" si="69"/>
        <v>汉族</v>
      </c>
      <c r="E95" s="14" t="str">
        <f>"北流"</f>
        <v>北流</v>
      </c>
      <c r="F95" s="14" t="str">
        <f>"1989年07月"</f>
        <v>1989年07月</v>
      </c>
      <c r="G95" s="14" t="str">
        <f t="shared" si="75"/>
        <v>共青团员</v>
      </c>
      <c r="H95" s="14" t="str">
        <f>"桂林理工大学英语"</f>
        <v>桂林理工大学英语</v>
      </c>
      <c r="I95" s="14" t="str">
        <f t="shared" ref="I95:I98" si="81">"英语"</f>
        <v>英语</v>
      </c>
      <c r="J95" s="14" t="str">
        <f t="shared" ref="J95:J98" si="82">"本科学士"</f>
        <v>本科学士</v>
      </c>
      <c r="K95" s="14" t="str">
        <f>"2012.07.01"</f>
        <v>2012.07.01</v>
      </c>
      <c r="L95" s="14" t="str">
        <f t="shared" si="29"/>
        <v>小学</v>
      </c>
      <c r="M95" s="14" t="str">
        <f t="shared" si="66"/>
        <v>104:英语</v>
      </c>
      <c r="N95" s="15">
        <v>25</v>
      </c>
      <c r="O95" s="8">
        <v>43.67</v>
      </c>
      <c r="P95" s="16">
        <f t="shared" si="67"/>
        <v>68.67</v>
      </c>
      <c r="Q95" s="16">
        <v>17</v>
      </c>
    </row>
    <row r="96" spans="1:17" s="11" customFormat="1" ht="24" customHeight="1">
      <c r="A96" s="5">
        <v>94</v>
      </c>
      <c r="B96" s="14" t="str">
        <f>"许天怡"</f>
        <v>许天怡</v>
      </c>
      <c r="C96" s="14" t="str">
        <f t="shared" si="62"/>
        <v xml:space="preserve">女        </v>
      </c>
      <c r="D96" s="14" t="str">
        <f t="shared" si="69"/>
        <v>汉族</v>
      </c>
      <c r="E96" s="14" t="str">
        <f t="shared" si="78"/>
        <v>容县</v>
      </c>
      <c r="F96" s="14" t="str">
        <f>"1991年09月"</f>
        <v>1991年09月</v>
      </c>
      <c r="G96" s="14" t="str">
        <f t="shared" si="75"/>
        <v>共青团员</v>
      </c>
      <c r="H96" s="14" t="str">
        <f>"广西师范大学漓江学院英语"</f>
        <v>广西师范大学漓江学院英语</v>
      </c>
      <c r="I96" s="14" t="str">
        <f t="shared" si="81"/>
        <v>英语</v>
      </c>
      <c r="J96" s="14" t="str">
        <f t="shared" si="82"/>
        <v>本科学士</v>
      </c>
      <c r="K96" s="14" t="str">
        <f>"2014.07.01"</f>
        <v>2014.07.01</v>
      </c>
      <c r="L96" s="14" t="str">
        <f t="shared" si="29"/>
        <v>小学</v>
      </c>
      <c r="M96" s="14" t="str">
        <f t="shared" si="66"/>
        <v>104:英语</v>
      </c>
      <c r="N96" s="15">
        <v>23</v>
      </c>
      <c r="O96" s="8">
        <v>45.67</v>
      </c>
      <c r="P96" s="16">
        <f t="shared" si="67"/>
        <v>68.67</v>
      </c>
      <c r="Q96" s="16">
        <v>18</v>
      </c>
    </row>
    <row r="97" spans="1:17" s="11" customFormat="1" ht="24" customHeight="1">
      <c r="A97" s="5">
        <v>95</v>
      </c>
      <c r="B97" s="14" t="str">
        <f>"刘广兰"</f>
        <v>刘广兰</v>
      </c>
      <c r="C97" s="14" t="str">
        <f t="shared" si="62"/>
        <v xml:space="preserve">女        </v>
      </c>
      <c r="D97" s="14" t="str">
        <f t="shared" si="69"/>
        <v>汉族</v>
      </c>
      <c r="E97" s="14" t="str">
        <f t="shared" si="78"/>
        <v>容县</v>
      </c>
      <c r="F97" s="14" t="str">
        <f>"1996年06月"</f>
        <v>1996年06月</v>
      </c>
      <c r="G97" s="14" t="str">
        <f t="shared" si="75"/>
        <v>共青团员</v>
      </c>
      <c r="H97" s="14" t="str">
        <f>"桂林师范高等专科学校英语教育"</f>
        <v>桂林师范高等专科学校英语教育</v>
      </c>
      <c r="I97" s="14" t="str">
        <f t="shared" si="79"/>
        <v>英语教育</v>
      </c>
      <c r="J97" s="14" t="str">
        <f t="shared" si="80"/>
        <v>专科无学位</v>
      </c>
      <c r="K97" s="14" t="str">
        <f t="shared" ref="K97:K101" si="83">"2017.06.01"</f>
        <v>2017.06.01</v>
      </c>
      <c r="L97" s="14" t="str">
        <f t="shared" si="29"/>
        <v>小学</v>
      </c>
      <c r="M97" s="14" t="str">
        <f t="shared" si="66"/>
        <v>104:英语</v>
      </c>
      <c r="N97" s="15">
        <v>20</v>
      </c>
      <c r="O97" s="8">
        <v>48.67</v>
      </c>
      <c r="P97" s="16">
        <f t="shared" si="67"/>
        <v>68.67</v>
      </c>
      <c r="Q97" s="16">
        <v>19</v>
      </c>
    </row>
    <row r="98" spans="1:17" s="11" customFormat="1" ht="24" customHeight="1">
      <c r="A98" s="5">
        <v>96</v>
      </c>
      <c r="B98" s="14" t="str">
        <f>"韦姗伶"</f>
        <v>韦姗伶</v>
      </c>
      <c r="C98" s="14" t="str">
        <f t="shared" si="62"/>
        <v xml:space="preserve">女        </v>
      </c>
      <c r="D98" s="14" t="str">
        <f t="shared" si="69"/>
        <v>汉族</v>
      </c>
      <c r="E98" s="14" t="str">
        <f t="shared" si="78"/>
        <v>容县</v>
      </c>
      <c r="F98" s="14" t="str">
        <f>"1991年06月"</f>
        <v>1991年06月</v>
      </c>
      <c r="G98" s="14" t="str">
        <f t="shared" si="75"/>
        <v>共青团员</v>
      </c>
      <c r="H98" s="14" t="str">
        <f>"百色学院英语"</f>
        <v>百色学院英语</v>
      </c>
      <c r="I98" s="14" t="str">
        <f t="shared" si="81"/>
        <v>英语</v>
      </c>
      <c r="J98" s="14" t="str">
        <f t="shared" si="82"/>
        <v>本科学士</v>
      </c>
      <c r="K98" s="14" t="str">
        <f>"2013.06.01"</f>
        <v>2013.06.01</v>
      </c>
      <c r="L98" s="14" t="str">
        <f t="shared" si="29"/>
        <v>小学</v>
      </c>
      <c r="M98" s="14" t="str">
        <f t="shared" si="66"/>
        <v>104:英语</v>
      </c>
      <c r="N98" s="15">
        <v>21</v>
      </c>
      <c r="O98" s="8">
        <v>47.33</v>
      </c>
      <c r="P98" s="16">
        <f t="shared" si="67"/>
        <v>68.33</v>
      </c>
      <c r="Q98" s="16">
        <v>20</v>
      </c>
    </row>
    <row r="99" spans="1:17" s="11" customFormat="1" ht="24" customHeight="1">
      <c r="A99" s="5">
        <v>97</v>
      </c>
      <c r="B99" s="14" t="str">
        <f>"刘虹妤"</f>
        <v>刘虹妤</v>
      </c>
      <c r="C99" s="14" t="str">
        <f t="shared" si="62"/>
        <v xml:space="preserve">女        </v>
      </c>
      <c r="D99" s="14" t="str">
        <f t="shared" si="69"/>
        <v>汉族</v>
      </c>
      <c r="E99" s="14" t="str">
        <f>"北流"</f>
        <v>北流</v>
      </c>
      <c r="F99" s="14" t="str">
        <f>"1993年09月"</f>
        <v>1993年09月</v>
      </c>
      <c r="G99" s="14" t="str">
        <f t="shared" si="75"/>
        <v>共青团员</v>
      </c>
      <c r="H99" s="14" t="str">
        <f>"广西教育学院英语教育"</f>
        <v>广西教育学院英语教育</v>
      </c>
      <c r="I99" s="14" t="str">
        <f t="shared" si="79"/>
        <v>英语教育</v>
      </c>
      <c r="J99" s="14" t="str">
        <f t="shared" si="80"/>
        <v>专科无学位</v>
      </c>
      <c r="K99" s="14" t="str">
        <f>"2015.07.01"</f>
        <v>2015.07.01</v>
      </c>
      <c r="L99" s="14" t="str">
        <f t="shared" si="29"/>
        <v>小学</v>
      </c>
      <c r="M99" s="14" t="str">
        <f t="shared" si="66"/>
        <v>104:英语</v>
      </c>
      <c r="N99" s="15">
        <v>20</v>
      </c>
      <c r="O99" s="8">
        <v>48.33</v>
      </c>
      <c r="P99" s="16">
        <f t="shared" si="67"/>
        <v>68.33</v>
      </c>
      <c r="Q99" s="16">
        <v>21</v>
      </c>
    </row>
    <row r="100" spans="1:17" s="11" customFormat="1" ht="24" customHeight="1">
      <c r="A100" s="5">
        <v>98</v>
      </c>
      <c r="B100" s="14" t="str">
        <f>"梁紫瑜"</f>
        <v>梁紫瑜</v>
      </c>
      <c r="C100" s="14" t="str">
        <f t="shared" si="62"/>
        <v xml:space="preserve">女        </v>
      </c>
      <c r="D100" s="14" t="str">
        <f t="shared" si="69"/>
        <v>汉族</v>
      </c>
      <c r="E100" s="14" t="str">
        <f t="shared" ref="E100:E105" si="84">"容县"</f>
        <v>容县</v>
      </c>
      <c r="F100" s="14" t="str">
        <f>"1992年10月"</f>
        <v>1992年10月</v>
      </c>
      <c r="G100" s="14" t="str">
        <f t="shared" si="75"/>
        <v>共青团员</v>
      </c>
      <c r="H100" s="14" t="str">
        <f>"贺州学院英语"</f>
        <v>贺州学院英语</v>
      </c>
      <c r="I100" s="14" t="str">
        <f>"英语"</f>
        <v>英语</v>
      </c>
      <c r="J100" s="14" t="str">
        <f>"本科无学位"</f>
        <v>本科无学位</v>
      </c>
      <c r="K100" s="14" t="str">
        <f t="shared" si="83"/>
        <v>2017.06.01</v>
      </c>
      <c r="L100" s="14" t="str">
        <f t="shared" ref="L100:L163" si="85">"小学"</f>
        <v>小学</v>
      </c>
      <c r="M100" s="14" t="str">
        <f t="shared" si="66"/>
        <v>104:英语</v>
      </c>
      <c r="N100" s="15">
        <v>22</v>
      </c>
      <c r="O100" s="8">
        <v>46</v>
      </c>
      <c r="P100" s="16">
        <f t="shared" si="67"/>
        <v>68</v>
      </c>
      <c r="Q100" s="16">
        <v>22</v>
      </c>
    </row>
    <row r="101" spans="1:17" s="12" customFormat="1" ht="24" customHeight="1">
      <c r="A101" s="5">
        <v>99</v>
      </c>
      <c r="B101" s="14" t="str">
        <f>"劳静"</f>
        <v>劳静</v>
      </c>
      <c r="C101" s="14" t="str">
        <f t="shared" si="62"/>
        <v xml:space="preserve">女        </v>
      </c>
      <c r="D101" s="14" t="str">
        <f t="shared" si="69"/>
        <v>汉族</v>
      </c>
      <c r="E101" s="14" t="str">
        <f t="shared" si="84"/>
        <v>容县</v>
      </c>
      <c r="F101" s="14" t="str">
        <f>"1992年05月"</f>
        <v>1992年05月</v>
      </c>
      <c r="G101" s="14" t="str">
        <f t="shared" si="75"/>
        <v>共青团员</v>
      </c>
      <c r="H101" s="14" t="str">
        <f>"广西师范大学漓江学院商务英语"</f>
        <v>广西师范大学漓江学院商务英语</v>
      </c>
      <c r="I101" s="14" t="str">
        <f>"商务英语"</f>
        <v>商务英语</v>
      </c>
      <c r="J101" s="14" t="str">
        <f>"本科学士"</f>
        <v>本科学士</v>
      </c>
      <c r="K101" s="14" t="str">
        <f t="shared" si="83"/>
        <v>2017.06.01</v>
      </c>
      <c r="L101" s="14" t="str">
        <f t="shared" si="85"/>
        <v>小学</v>
      </c>
      <c r="M101" s="14" t="str">
        <f t="shared" si="66"/>
        <v>104:英语</v>
      </c>
      <c r="N101" s="15">
        <v>21</v>
      </c>
      <c r="O101" s="8">
        <v>47</v>
      </c>
      <c r="P101" s="16">
        <f t="shared" si="67"/>
        <v>68</v>
      </c>
      <c r="Q101" s="16">
        <v>23</v>
      </c>
    </row>
    <row r="102" spans="1:17" s="12" customFormat="1" ht="24" customHeight="1">
      <c r="A102" s="5">
        <v>100</v>
      </c>
      <c r="B102" s="14" t="str">
        <f>"姚小梅"</f>
        <v>姚小梅</v>
      </c>
      <c r="C102" s="14" t="str">
        <f t="shared" si="62"/>
        <v xml:space="preserve">女        </v>
      </c>
      <c r="D102" s="14" t="str">
        <f t="shared" si="69"/>
        <v>汉族</v>
      </c>
      <c r="E102" s="14" t="str">
        <f>"玉林"</f>
        <v>玉林</v>
      </c>
      <c r="F102" s="14" t="str">
        <f>"1993年03月"</f>
        <v>1993年03月</v>
      </c>
      <c r="G102" s="14" t="str">
        <f t="shared" si="75"/>
        <v>共青团员</v>
      </c>
      <c r="H102" s="14" t="str">
        <f>"南昌师范高等专科学校英语教育"</f>
        <v>南昌师范高等专科学校英语教育</v>
      </c>
      <c r="I102" s="14" t="str">
        <f t="shared" ref="I102:I106" si="86">"英语教育"</f>
        <v>英语教育</v>
      </c>
      <c r="J102" s="14" t="str">
        <f t="shared" ref="J102:J108" si="87">"专科无学位"</f>
        <v>专科无学位</v>
      </c>
      <c r="K102" s="14" t="str">
        <f t="shared" ref="K102:K105" si="88">"2016.06.01"</f>
        <v>2016.06.01</v>
      </c>
      <c r="L102" s="14" t="str">
        <f t="shared" si="85"/>
        <v>小学</v>
      </c>
      <c r="M102" s="14" t="str">
        <f t="shared" si="66"/>
        <v>104:英语</v>
      </c>
      <c r="N102" s="15">
        <v>20</v>
      </c>
      <c r="O102" s="8">
        <v>48</v>
      </c>
      <c r="P102" s="16">
        <f t="shared" si="67"/>
        <v>68</v>
      </c>
      <c r="Q102" s="16">
        <v>24</v>
      </c>
    </row>
    <row r="103" spans="1:17" s="11" customFormat="1" ht="24" customHeight="1">
      <c r="A103" s="5">
        <v>101</v>
      </c>
      <c r="B103" s="14" t="str">
        <f>"陆秀华"</f>
        <v>陆秀华</v>
      </c>
      <c r="C103" s="14" t="str">
        <f t="shared" si="62"/>
        <v xml:space="preserve">女        </v>
      </c>
      <c r="D103" s="14" t="str">
        <f t="shared" si="69"/>
        <v>汉族</v>
      </c>
      <c r="E103" s="14" t="str">
        <f t="shared" si="84"/>
        <v>容县</v>
      </c>
      <c r="F103" s="14" t="str">
        <f>"1992年11月"</f>
        <v>1992年11月</v>
      </c>
      <c r="G103" s="14" t="str">
        <f t="shared" si="75"/>
        <v>共青团员</v>
      </c>
      <c r="H103" s="14" t="str">
        <f>"广西外国语学院应用英语教育方向"</f>
        <v>广西外国语学院应用英语教育方向</v>
      </c>
      <c r="I103" s="14" t="str">
        <f>"应用英语教育方向"</f>
        <v>应用英语教育方向</v>
      </c>
      <c r="J103" s="14" t="str">
        <f t="shared" si="87"/>
        <v>专科无学位</v>
      </c>
      <c r="K103" s="14" t="str">
        <f>"2015.06.01"</f>
        <v>2015.06.01</v>
      </c>
      <c r="L103" s="14" t="str">
        <f t="shared" si="85"/>
        <v>小学</v>
      </c>
      <c r="M103" s="14" t="str">
        <f t="shared" si="66"/>
        <v>104:英语</v>
      </c>
      <c r="N103" s="15">
        <v>24</v>
      </c>
      <c r="O103" s="8">
        <v>43.67</v>
      </c>
      <c r="P103" s="16">
        <f t="shared" si="67"/>
        <v>67.67</v>
      </c>
      <c r="Q103" s="16">
        <v>25</v>
      </c>
    </row>
    <row r="104" spans="1:17" s="11" customFormat="1" ht="24" customHeight="1">
      <c r="A104" s="5">
        <v>102</v>
      </c>
      <c r="B104" s="14" t="str">
        <f>"林文燕"</f>
        <v>林文燕</v>
      </c>
      <c r="C104" s="14" t="str">
        <f t="shared" si="62"/>
        <v xml:space="preserve">女        </v>
      </c>
      <c r="D104" s="14" t="str">
        <f t="shared" si="69"/>
        <v>汉族</v>
      </c>
      <c r="E104" s="14" t="str">
        <f t="shared" si="84"/>
        <v>容县</v>
      </c>
      <c r="F104" s="14" t="str">
        <f>"1993年12月"</f>
        <v>1993年12月</v>
      </c>
      <c r="G104" s="14" t="str">
        <f>"中共党员"</f>
        <v>中共党员</v>
      </c>
      <c r="H104" s="14" t="str">
        <f>"钦州学院初等教育英语方向"</f>
        <v>钦州学院初等教育英语方向</v>
      </c>
      <c r="I104" s="14" t="str">
        <f>"初等教育英语方向"</f>
        <v>初等教育英语方向</v>
      </c>
      <c r="J104" s="14" t="str">
        <f t="shared" si="87"/>
        <v>专科无学位</v>
      </c>
      <c r="K104" s="14" t="str">
        <f t="shared" si="88"/>
        <v>2016.06.01</v>
      </c>
      <c r="L104" s="14" t="str">
        <f t="shared" si="85"/>
        <v>小学</v>
      </c>
      <c r="M104" s="14" t="str">
        <f t="shared" si="66"/>
        <v>104:英语</v>
      </c>
      <c r="N104" s="15">
        <v>22</v>
      </c>
      <c r="O104" s="8">
        <v>45.67</v>
      </c>
      <c r="P104" s="16">
        <f t="shared" si="67"/>
        <v>67.67</v>
      </c>
      <c r="Q104" s="16">
        <v>26</v>
      </c>
    </row>
    <row r="105" spans="1:17" s="12" customFormat="1" ht="24" customHeight="1">
      <c r="A105" s="5">
        <v>103</v>
      </c>
      <c r="B105" s="14" t="str">
        <f>"林丽"</f>
        <v>林丽</v>
      </c>
      <c r="C105" s="14" t="str">
        <f t="shared" si="62"/>
        <v xml:space="preserve">女        </v>
      </c>
      <c r="D105" s="14" t="str">
        <f t="shared" si="69"/>
        <v>汉族</v>
      </c>
      <c r="E105" s="14" t="str">
        <f t="shared" si="84"/>
        <v>容县</v>
      </c>
      <c r="F105" s="14" t="str">
        <f>"1994年08月"</f>
        <v>1994年08月</v>
      </c>
      <c r="G105" s="14" t="str">
        <f>"共青团员"</f>
        <v>共青团员</v>
      </c>
      <c r="H105" s="14" t="str">
        <f>"广西科技师范学院英语教育"</f>
        <v>广西科技师范学院英语教育</v>
      </c>
      <c r="I105" s="14" t="str">
        <f t="shared" si="86"/>
        <v>英语教育</v>
      </c>
      <c r="J105" s="14" t="str">
        <f t="shared" si="87"/>
        <v>专科无学位</v>
      </c>
      <c r="K105" s="14" t="str">
        <f t="shared" si="88"/>
        <v>2016.06.01</v>
      </c>
      <c r="L105" s="14" t="str">
        <f t="shared" si="85"/>
        <v>小学</v>
      </c>
      <c r="M105" s="14" t="str">
        <f t="shared" si="66"/>
        <v>104:英语</v>
      </c>
      <c r="N105" s="15">
        <v>21</v>
      </c>
      <c r="O105" s="8">
        <v>46.33</v>
      </c>
      <c r="P105" s="16">
        <f t="shared" si="67"/>
        <v>67.33</v>
      </c>
      <c r="Q105" s="16">
        <v>27</v>
      </c>
    </row>
    <row r="106" spans="1:17" s="11" customFormat="1" ht="24" customHeight="1">
      <c r="A106" s="5">
        <v>104</v>
      </c>
      <c r="B106" s="14" t="str">
        <f>"高婷婷"</f>
        <v>高婷婷</v>
      </c>
      <c r="C106" s="14" t="str">
        <f t="shared" si="62"/>
        <v xml:space="preserve">女        </v>
      </c>
      <c r="D106" s="14" t="str">
        <f t="shared" si="69"/>
        <v>汉族</v>
      </c>
      <c r="E106" s="14" t="str">
        <f>"岑溪市"</f>
        <v>岑溪市</v>
      </c>
      <c r="F106" s="14" t="str">
        <f>"1994年08月"</f>
        <v>1994年08月</v>
      </c>
      <c r="G106" s="14" t="str">
        <f>"中共党员"</f>
        <v>中共党员</v>
      </c>
      <c r="H106" s="14" t="str">
        <f>"南宁地区教育学院英语教育"</f>
        <v>南宁地区教育学院英语教育</v>
      </c>
      <c r="I106" s="14" t="str">
        <f t="shared" si="86"/>
        <v>英语教育</v>
      </c>
      <c r="J106" s="14" t="str">
        <f t="shared" si="87"/>
        <v>专科无学位</v>
      </c>
      <c r="K106" s="14" t="str">
        <f>"2017.06.01"</f>
        <v>2017.06.01</v>
      </c>
      <c r="L106" s="14" t="str">
        <f t="shared" si="85"/>
        <v>小学</v>
      </c>
      <c r="M106" s="14" t="str">
        <f t="shared" si="66"/>
        <v>104:英语</v>
      </c>
      <c r="N106" s="15">
        <v>23</v>
      </c>
      <c r="O106" s="8">
        <v>44</v>
      </c>
      <c r="P106" s="16">
        <f t="shared" si="67"/>
        <v>67</v>
      </c>
      <c r="Q106" s="16">
        <v>28</v>
      </c>
    </row>
    <row r="107" spans="1:17" s="12" customFormat="1" ht="24" customHeight="1">
      <c r="A107" s="5">
        <v>105</v>
      </c>
      <c r="B107" s="14" t="str">
        <f>"韦金宇"</f>
        <v>韦金宇</v>
      </c>
      <c r="C107" s="14" t="str">
        <f t="shared" si="62"/>
        <v xml:space="preserve">女        </v>
      </c>
      <c r="D107" s="14" t="str">
        <f t="shared" si="69"/>
        <v>汉族</v>
      </c>
      <c r="E107" s="14" t="str">
        <f>"陆川县"</f>
        <v>陆川县</v>
      </c>
      <c r="F107" s="14" t="str">
        <f>"1989年02月"</f>
        <v>1989年02月</v>
      </c>
      <c r="G107" s="14" t="str">
        <f>"群众"</f>
        <v>群众</v>
      </c>
      <c r="H107" s="14" t="str">
        <f>"广西民族师范学院英语"</f>
        <v>广西民族师范学院英语</v>
      </c>
      <c r="I107" s="14" t="str">
        <f>"英语"</f>
        <v>英语</v>
      </c>
      <c r="J107" s="14" t="str">
        <f t="shared" si="87"/>
        <v>专科无学位</v>
      </c>
      <c r="K107" s="14" t="str">
        <f>"2012.07.01"</f>
        <v>2012.07.01</v>
      </c>
      <c r="L107" s="14" t="str">
        <f t="shared" si="85"/>
        <v>小学</v>
      </c>
      <c r="M107" s="14" t="str">
        <f t="shared" si="66"/>
        <v>104:英语</v>
      </c>
      <c r="N107" s="15">
        <v>22</v>
      </c>
      <c r="O107" s="8">
        <v>45</v>
      </c>
      <c r="P107" s="16">
        <f t="shared" si="67"/>
        <v>67</v>
      </c>
      <c r="Q107" s="16">
        <v>29</v>
      </c>
    </row>
    <row r="108" spans="1:17" s="11" customFormat="1" ht="24" customHeight="1">
      <c r="A108" s="5">
        <v>106</v>
      </c>
      <c r="B108" s="14" t="str">
        <f>"余仲莲"</f>
        <v>余仲莲</v>
      </c>
      <c r="C108" s="14" t="str">
        <f t="shared" si="62"/>
        <v xml:space="preserve">女        </v>
      </c>
      <c r="D108" s="14" t="str">
        <f t="shared" si="69"/>
        <v>汉族</v>
      </c>
      <c r="E108" s="14" t="str">
        <f t="shared" ref="E108:E110" si="89">"容县"</f>
        <v>容县</v>
      </c>
      <c r="F108" s="14" t="str">
        <f>"1991年07月"</f>
        <v>1991年07月</v>
      </c>
      <c r="G108" s="14" t="str">
        <f>"共青团员"</f>
        <v>共青团员</v>
      </c>
      <c r="H108" s="14" t="str">
        <f>"广西柳州师范高等专科学校英语教育"</f>
        <v>广西柳州师范高等专科学校英语教育</v>
      </c>
      <c r="I108" s="14" t="str">
        <f>"英语教育"</f>
        <v>英语教育</v>
      </c>
      <c r="J108" s="14" t="str">
        <f t="shared" si="87"/>
        <v>专科无学位</v>
      </c>
      <c r="K108" s="14" t="str">
        <f>"2012.06.01"</f>
        <v>2012.06.01</v>
      </c>
      <c r="L108" s="14" t="str">
        <f t="shared" si="85"/>
        <v>小学</v>
      </c>
      <c r="M108" s="14" t="str">
        <f t="shared" si="66"/>
        <v>104:英语</v>
      </c>
      <c r="N108" s="15">
        <v>20</v>
      </c>
      <c r="O108" s="8">
        <v>47</v>
      </c>
      <c r="P108" s="16">
        <f t="shared" si="67"/>
        <v>67</v>
      </c>
      <c r="Q108" s="16">
        <v>30</v>
      </c>
    </row>
    <row r="109" spans="1:17" s="11" customFormat="1" ht="24" customHeight="1">
      <c r="A109" s="5">
        <v>107</v>
      </c>
      <c r="B109" s="14" t="str">
        <f>"彭静"</f>
        <v>彭静</v>
      </c>
      <c r="C109" s="14" t="str">
        <f t="shared" si="62"/>
        <v xml:space="preserve">女        </v>
      </c>
      <c r="D109" s="14" t="str">
        <f t="shared" si="69"/>
        <v>汉族</v>
      </c>
      <c r="E109" s="14" t="str">
        <f t="shared" si="89"/>
        <v>容县</v>
      </c>
      <c r="F109" s="14" t="str">
        <f>"1993年12月"</f>
        <v>1993年12月</v>
      </c>
      <c r="G109" s="14" t="str">
        <f>"群众"</f>
        <v>群众</v>
      </c>
      <c r="H109" s="14" t="str">
        <f>"贺州学院英语"</f>
        <v>贺州学院英语</v>
      </c>
      <c r="I109" s="14" t="str">
        <f>"英语"</f>
        <v>英语</v>
      </c>
      <c r="J109" s="14" t="str">
        <f t="shared" ref="J109:J112" si="90">"本科学士"</f>
        <v>本科学士</v>
      </c>
      <c r="K109" s="14" t="str">
        <f>"2017.06.01"</f>
        <v>2017.06.01</v>
      </c>
      <c r="L109" s="14" t="str">
        <f t="shared" si="85"/>
        <v>小学</v>
      </c>
      <c r="M109" s="14" t="str">
        <f t="shared" si="66"/>
        <v>104:英语</v>
      </c>
      <c r="N109" s="15">
        <v>19</v>
      </c>
      <c r="O109" s="8">
        <v>48</v>
      </c>
      <c r="P109" s="16">
        <f t="shared" si="67"/>
        <v>67</v>
      </c>
      <c r="Q109" s="16">
        <v>31</v>
      </c>
    </row>
    <row r="110" spans="1:17" ht="25.5" customHeight="1">
      <c r="A110" s="5">
        <v>108</v>
      </c>
      <c r="B110" s="5" t="str">
        <f>"刘月文"</f>
        <v>刘月文</v>
      </c>
      <c r="C110" s="5" t="str">
        <f t="shared" si="62"/>
        <v xml:space="preserve">女        </v>
      </c>
      <c r="D110" s="5" t="str">
        <f t="shared" si="69"/>
        <v>汉族</v>
      </c>
      <c r="E110" s="5" t="str">
        <f t="shared" si="89"/>
        <v>容县</v>
      </c>
      <c r="F110" s="5" t="str">
        <f>"1995年02月"</f>
        <v>1995年02月</v>
      </c>
      <c r="G110" s="5" t="str">
        <f t="shared" ref="G110:G113" si="91">"中共党员"</f>
        <v>中共党员</v>
      </c>
      <c r="H110" s="5" t="str">
        <f>"玉林师范学院社会体育"</f>
        <v>玉林师范学院社会体育</v>
      </c>
      <c r="I110" s="5" t="str">
        <f>"社会体育"</f>
        <v>社会体育</v>
      </c>
      <c r="J110" s="5" t="str">
        <f t="shared" si="90"/>
        <v>本科学士</v>
      </c>
      <c r="K110" s="5" t="str">
        <f>"2017.07.01"</f>
        <v>2017.07.01</v>
      </c>
      <c r="L110" s="5" t="str">
        <f t="shared" si="85"/>
        <v>小学</v>
      </c>
      <c r="M110" s="5" t="str">
        <f t="shared" ref="M110:M125" si="92">"106:体育"</f>
        <v>106:体育</v>
      </c>
      <c r="N110" s="8">
        <v>34.5</v>
      </c>
      <c r="O110" s="8">
        <v>49.17</v>
      </c>
      <c r="P110" s="9">
        <f t="shared" ref="P110:P143" si="93">O110+N110</f>
        <v>83.67</v>
      </c>
      <c r="Q110" s="8">
        <v>1</v>
      </c>
    </row>
    <row r="111" spans="1:17" s="10" customFormat="1" ht="25.5" customHeight="1">
      <c r="A111" s="5">
        <v>109</v>
      </c>
      <c r="B111" s="5" t="str">
        <f>"邓桂平"</f>
        <v>邓桂平</v>
      </c>
      <c r="C111" s="5" t="str">
        <f t="shared" si="62"/>
        <v xml:space="preserve">女        </v>
      </c>
      <c r="D111" s="5" t="str">
        <f t="shared" si="69"/>
        <v>汉族</v>
      </c>
      <c r="E111" s="5" t="str">
        <f>""</f>
        <v/>
      </c>
      <c r="F111" s="5" t="str">
        <f>"1989年11月"</f>
        <v>1989年11月</v>
      </c>
      <c r="G111" s="5" t="str">
        <f t="shared" ref="G111:G118" si="94">"共青团员"</f>
        <v>共青团员</v>
      </c>
      <c r="H111" s="5" t="str">
        <f>"重庆师范大学体育教育"</f>
        <v>重庆师范大学体育教育</v>
      </c>
      <c r="I111" s="5" t="str">
        <f t="shared" ref="I111:I121" si="95">"体育教育"</f>
        <v>体育教育</v>
      </c>
      <c r="J111" s="5" t="str">
        <f t="shared" si="90"/>
        <v>本科学士</v>
      </c>
      <c r="K111" s="5" t="str">
        <f>"2012.06.01"</f>
        <v>2012.06.01</v>
      </c>
      <c r="L111" s="5" t="str">
        <f t="shared" si="85"/>
        <v>小学</v>
      </c>
      <c r="M111" s="5" t="str">
        <f t="shared" si="92"/>
        <v>106:体育</v>
      </c>
      <c r="N111" s="8">
        <v>33</v>
      </c>
      <c r="O111" s="8">
        <v>42.17</v>
      </c>
      <c r="P111" s="9">
        <f t="shared" si="93"/>
        <v>75.17</v>
      </c>
      <c r="Q111" s="8">
        <v>2</v>
      </c>
    </row>
    <row r="112" spans="1:17" s="10" customFormat="1" ht="25.5" customHeight="1">
      <c r="A112" s="5">
        <v>110</v>
      </c>
      <c r="B112" s="5" t="str">
        <f>"郑学贵"</f>
        <v>郑学贵</v>
      </c>
      <c r="C112" s="5" t="str">
        <f t="shared" ref="C112:C116" si="96">"男        "</f>
        <v xml:space="preserve">男        </v>
      </c>
      <c r="D112" s="5" t="str">
        <f t="shared" si="69"/>
        <v>汉族</v>
      </c>
      <c r="E112" s="5" t="str">
        <f t="shared" ref="E112:E119" si="97">"容县"</f>
        <v>容县</v>
      </c>
      <c r="F112" s="5" t="str">
        <f>"1987年09月"</f>
        <v>1987年09月</v>
      </c>
      <c r="G112" s="5" t="str">
        <f t="shared" si="91"/>
        <v>中共党员</v>
      </c>
      <c r="H112" s="5" t="str">
        <f>"百色学院体育教育"</f>
        <v>百色学院体育教育</v>
      </c>
      <c r="I112" s="5" t="str">
        <f t="shared" si="95"/>
        <v>体育教育</v>
      </c>
      <c r="J112" s="5" t="str">
        <f t="shared" si="90"/>
        <v>本科学士</v>
      </c>
      <c r="K112" s="5" t="str">
        <f>"2014.06.01"</f>
        <v>2014.06.01</v>
      </c>
      <c r="L112" s="5" t="str">
        <f t="shared" si="85"/>
        <v>小学</v>
      </c>
      <c r="M112" s="5" t="str">
        <f t="shared" si="92"/>
        <v>106:体育</v>
      </c>
      <c r="N112" s="8">
        <v>26</v>
      </c>
      <c r="O112" s="8">
        <v>48.17</v>
      </c>
      <c r="P112" s="9">
        <f t="shared" si="93"/>
        <v>74.17</v>
      </c>
      <c r="Q112" s="8">
        <v>3</v>
      </c>
    </row>
    <row r="113" spans="1:17" s="10" customFormat="1" ht="25.5" customHeight="1">
      <c r="A113" s="5">
        <v>111</v>
      </c>
      <c r="B113" s="5" t="str">
        <f>"王子章"</f>
        <v>王子章</v>
      </c>
      <c r="C113" s="5" t="str">
        <f t="shared" si="96"/>
        <v xml:space="preserve">男        </v>
      </c>
      <c r="D113" s="5" t="str">
        <f>"壮族"</f>
        <v>壮族</v>
      </c>
      <c r="E113" s="5" t="str">
        <f>"云南富宁"</f>
        <v>云南富宁</v>
      </c>
      <c r="F113" s="5" t="str">
        <f>"1994年12月"</f>
        <v>1994年12月</v>
      </c>
      <c r="G113" s="5" t="str">
        <f t="shared" si="91"/>
        <v>中共党员</v>
      </c>
      <c r="H113" s="5" t="str">
        <f>"滇西科技师范学院体育教育"</f>
        <v>滇西科技师范学院体育教育</v>
      </c>
      <c r="I113" s="5" t="str">
        <f t="shared" si="95"/>
        <v>体育教育</v>
      </c>
      <c r="J113" s="5" t="str">
        <f>"专科无学位"</f>
        <v>专科无学位</v>
      </c>
      <c r="K113" s="5" t="str">
        <f>"2017.07.01"</f>
        <v>2017.07.01</v>
      </c>
      <c r="L113" s="5" t="str">
        <f t="shared" si="85"/>
        <v>小学</v>
      </c>
      <c r="M113" s="5" t="str">
        <f t="shared" si="92"/>
        <v>106:体育</v>
      </c>
      <c r="N113" s="8">
        <v>31</v>
      </c>
      <c r="O113" s="8">
        <v>38.4</v>
      </c>
      <c r="P113" s="9">
        <f t="shared" si="93"/>
        <v>69.400000000000006</v>
      </c>
      <c r="Q113" s="8">
        <v>4</v>
      </c>
    </row>
    <row r="114" spans="1:17" s="10" customFormat="1" ht="25.5" customHeight="1">
      <c r="A114" s="5">
        <v>112</v>
      </c>
      <c r="B114" s="5" t="str">
        <f>"莫杏才"</f>
        <v>莫杏才</v>
      </c>
      <c r="C114" s="5" t="str">
        <f t="shared" si="96"/>
        <v xml:space="preserve">男        </v>
      </c>
      <c r="D114" s="5" t="str">
        <f t="shared" ref="D114:D142" si="98">"汉族"</f>
        <v>汉族</v>
      </c>
      <c r="E114" s="5" t="str">
        <f t="shared" si="97"/>
        <v>容县</v>
      </c>
      <c r="F114" s="5" t="str">
        <f>"1993年11月"</f>
        <v>1993年11月</v>
      </c>
      <c r="G114" s="5" t="str">
        <f t="shared" si="94"/>
        <v>共青团员</v>
      </c>
      <c r="H114" s="5" t="str">
        <f>"百色学院体育教育"</f>
        <v>百色学院体育教育</v>
      </c>
      <c r="I114" s="5" t="str">
        <f t="shared" si="95"/>
        <v>体育教育</v>
      </c>
      <c r="J114" s="5" t="str">
        <f t="shared" ref="J114:J129" si="99">"本科学士"</f>
        <v>本科学士</v>
      </c>
      <c r="K114" s="5" t="str">
        <f t="shared" ref="K114:K117" si="100">"2017.06.01"</f>
        <v>2017.06.01</v>
      </c>
      <c r="L114" s="5" t="str">
        <f t="shared" si="85"/>
        <v>小学</v>
      </c>
      <c r="M114" s="5" t="str">
        <f t="shared" si="92"/>
        <v>106:体育</v>
      </c>
      <c r="N114" s="8">
        <v>26.5</v>
      </c>
      <c r="O114" s="8">
        <v>42.4</v>
      </c>
      <c r="P114" s="9">
        <f t="shared" si="93"/>
        <v>68.900000000000006</v>
      </c>
      <c r="Q114" s="8">
        <v>5</v>
      </c>
    </row>
    <row r="115" spans="1:17" ht="25.5" customHeight="1">
      <c r="A115" s="5">
        <v>113</v>
      </c>
      <c r="B115" s="5" t="str">
        <f>"潘展杨"</f>
        <v>潘展杨</v>
      </c>
      <c r="C115" s="5" t="str">
        <f t="shared" si="96"/>
        <v xml:space="preserve">男        </v>
      </c>
      <c r="D115" s="5" t="str">
        <f t="shared" si="98"/>
        <v>汉族</v>
      </c>
      <c r="E115" s="5" t="str">
        <f t="shared" si="97"/>
        <v>容县</v>
      </c>
      <c r="F115" s="5" t="str">
        <f>"1993年01月"</f>
        <v>1993年01月</v>
      </c>
      <c r="G115" s="5" t="str">
        <f t="shared" si="94"/>
        <v>共青团员</v>
      </c>
      <c r="H115" s="5" t="str">
        <f t="shared" ref="H115:H117" si="101">"玉林师范学院体育教育"</f>
        <v>玉林师范学院体育教育</v>
      </c>
      <c r="I115" s="5" t="str">
        <f t="shared" si="95"/>
        <v>体育教育</v>
      </c>
      <c r="J115" s="5" t="str">
        <f t="shared" si="99"/>
        <v>本科学士</v>
      </c>
      <c r="K115" s="5" t="str">
        <f t="shared" si="100"/>
        <v>2017.06.01</v>
      </c>
      <c r="L115" s="5" t="str">
        <f t="shared" si="85"/>
        <v>小学</v>
      </c>
      <c r="M115" s="5" t="str">
        <f t="shared" si="92"/>
        <v>106:体育</v>
      </c>
      <c r="N115" s="8">
        <v>19</v>
      </c>
      <c r="O115" s="8">
        <v>47.43</v>
      </c>
      <c r="P115" s="9">
        <f t="shared" si="93"/>
        <v>66.430000000000007</v>
      </c>
      <c r="Q115" s="8">
        <v>6</v>
      </c>
    </row>
    <row r="116" spans="1:17" ht="25.5" customHeight="1">
      <c r="A116" s="5">
        <v>114</v>
      </c>
      <c r="B116" s="5" t="str">
        <f>"甘家伟"</f>
        <v>甘家伟</v>
      </c>
      <c r="C116" s="5" t="str">
        <f t="shared" si="96"/>
        <v xml:space="preserve">男        </v>
      </c>
      <c r="D116" s="5" t="str">
        <f t="shared" si="98"/>
        <v>汉族</v>
      </c>
      <c r="E116" s="5" t="str">
        <f t="shared" si="97"/>
        <v>容县</v>
      </c>
      <c r="F116" s="5" t="str">
        <f>"1994年03月"</f>
        <v>1994年03月</v>
      </c>
      <c r="G116" s="5" t="str">
        <f t="shared" si="94"/>
        <v>共青团员</v>
      </c>
      <c r="H116" s="5" t="str">
        <f t="shared" si="101"/>
        <v>玉林师范学院体育教育</v>
      </c>
      <c r="I116" s="5" t="str">
        <f t="shared" si="95"/>
        <v>体育教育</v>
      </c>
      <c r="J116" s="5" t="str">
        <f t="shared" si="99"/>
        <v>本科学士</v>
      </c>
      <c r="K116" s="5" t="str">
        <f t="shared" si="100"/>
        <v>2017.06.01</v>
      </c>
      <c r="L116" s="5" t="str">
        <f t="shared" si="85"/>
        <v>小学</v>
      </c>
      <c r="M116" s="5" t="str">
        <f t="shared" si="92"/>
        <v>106:体育</v>
      </c>
      <c r="N116" s="8">
        <v>26</v>
      </c>
      <c r="O116" s="8">
        <v>39.33</v>
      </c>
      <c r="P116" s="9">
        <f t="shared" si="93"/>
        <v>65.33</v>
      </c>
      <c r="Q116" s="8">
        <v>7</v>
      </c>
    </row>
    <row r="117" spans="1:17" ht="25.5" customHeight="1">
      <c r="A117" s="5">
        <v>115</v>
      </c>
      <c r="B117" s="5" t="str">
        <f>"覃意岚"</f>
        <v>覃意岚</v>
      </c>
      <c r="C117" s="5" t="str">
        <f>"女        "</f>
        <v xml:space="preserve">女        </v>
      </c>
      <c r="D117" s="5" t="str">
        <f t="shared" si="98"/>
        <v>汉族</v>
      </c>
      <c r="E117" s="5" t="str">
        <f t="shared" si="97"/>
        <v>容县</v>
      </c>
      <c r="F117" s="5" t="str">
        <f>"1994年11月"</f>
        <v>1994年11月</v>
      </c>
      <c r="G117" s="5" t="str">
        <f t="shared" si="94"/>
        <v>共青团员</v>
      </c>
      <c r="H117" s="5" t="str">
        <f t="shared" si="101"/>
        <v>玉林师范学院体育教育</v>
      </c>
      <c r="I117" s="5" t="str">
        <f t="shared" si="95"/>
        <v>体育教育</v>
      </c>
      <c r="J117" s="5" t="str">
        <f t="shared" si="99"/>
        <v>本科学士</v>
      </c>
      <c r="K117" s="5" t="str">
        <f t="shared" si="100"/>
        <v>2017.06.01</v>
      </c>
      <c r="L117" s="5" t="str">
        <f t="shared" si="85"/>
        <v>小学</v>
      </c>
      <c r="M117" s="5" t="str">
        <f t="shared" si="92"/>
        <v>106:体育</v>
      </c>
      <c r="N117" s="8">
        <v>24</v>
      </c>
      <c r="O117" s="8">
        <v>41.33</v>
      </c>
      <c r="P117" s="9">
        <f t="shared" si="93"/>
        <v>65.33</v>
      </c>
      <c r="Q117" s="8">
        <v>8</v>
      </c>
    </row>
    <row r="118" spans="1:17" ht="25.5" customHeight="1">
      <c r="A118" s="5">
        <v>116</v>
      </c>
      <c r="B118" s="5" t="str">
        <f>"李文剑"</f>
        <v>李文剑</v>
      </c>
      <c r="C118" s="5" t="str">
        <f t="shared" ref="C118:C124" si="102">"男        "</f>
        <v xml:space="preserve">男        </v>
      </c>
      <c r="D118" s="5" t="str">
        <f t="shared" si="98"/>
        <v>汉族</v>
      </c>
      <c r="E118" s="5" t="str">
        <f t="shared" si="97"/>
        <v>容县</v>
      </c>
      <c r="F118" s="5" t="str">
        <f t="shared" ref="F118:F122" si="103">"1994年02月"</f>
        <v>1994年02月</v>
      </c>
      <c r="G118" s="5" t="str">
        <f t="shared" si="94"/>
        <v>共青团员</v>
      </c>
      <c r="H118" s="5" t="str">
        <f>"贺州学院体育教育"</f>
        <v>贺州学院体育教育</v>
      </c>
      <c r="I118" s="5" t="str">
        <f t="shared" si="95"/>
        <v>体育教育</v>
      </c>
      <c r="J118" s="5" t="str">
        <f t="shared" si="99"/>
        <v>本科学士</v>
      </c>
      <c r="K118" s="5" t="str">
        <f>"2017.07.01"</f>
        <v>2017.07.01</v>
      </c>
      <c r="L118" s="5" t="str">
        <f t="shared" si="85"/>
        <v>小学</v>
      </c>
      <c r="M118" s="5" t="str">
        <f t="shared" si="92"/>
        <v>106:体育</v>
      </c>
      <c r="N118" s="8">
        <v>23</v>
      </c>
      <c r="O118" s="8">
        <v>42.33</v>
      </c>
      <c r="P118" s="9">
        <f t="shared" si="93"/>
        <v>65.33</v>
      </c>
      <c r="Q118" s="8">
        <v>9</v>
      </c>
    </row>
    <row r="119" spans="1:17" ht="25.5" customHeight="1">
      <c r="A119" s="5">
        <v>117</v>
      </c>
      <c r="B119" s="5" t="str">
        <f>"黄宝广"</f>
        <v>黄宝广</v>
      </c>
      <c r="C119" s="5" t="str">
        <f t="shared" si="102"/>
        <v xml:space="preserve">男        </v>
      </c>
      <c r="D119" s="5" t="str">
        <f t="shared" si="98"/>
        <v>汉族</v>
      </c>
      <c r="E119" s="5" t="str">
        <f t="shared" si="97"/>
        <v>容县</v>
      </c>
      <c r="F119" s="5" t="str">
        <f>"1988年08月"</f>
        <v>1988年08月</v>
      </c>
      <c r="G119" s="5" t="str">
        <f>"中共党员"</f>
        <v>中共党员</v>
      </c>
      <c r="H119" s="5" t="str">
        <f>"广西玉林师范学院体育教育"</f>
        <v>广西玉林师范学院体育教育</v>
      </c>
      <c r="I119" s="5" t="str">
        <f t="shared" si="95"/>
        <v>体育教育</v>
      </c>
      <c r="J119" s="5" t="str">
        <f t="shared" si="99"/>
        <v>本科学士</v>
      </c>
      <c r="K119" s="5" t="str">
        <f>"2012.06.01"</f>
        <v>2012.06.01</v>
      </c>
      <c r="L119" s="5" t="str">
        <f t="shared" si="85"/>
        <v>小学</v>
      </c>
      <c r="M119" s="5" t="str">
        <f t="shared" si="92"/>
        <v>106:体育</v>
      </c>
      <c r="N119" s="8">
        <v>28.5</v>
      </c>
      <c r="O119" s="8">
        <v>36.07</v>
      </c>
      <c r="P119" s="9">
        <f t="shared" si="93"/>
        <v>64.569999999999993</v>
      </c>
      <c r="Q119" s="8">
        <v>10</v>
      </c>
    </row>
    <row r="120" spans="1:17" s="10" customFormat="1" ht="25.5" customHeight="1">
      <c r="A120" s="5">
        <v>118</v>
      </c>
      <c r="B120" s="5" t="str">
        <f>"庞永权"</f>
        <v>庞永权</v>
      </c>
      <c r="C120" s="5" t="str">
        <f t="shared" si="102"/>
        <v xml:space="preserve">男        </v>
      </c>
      <c r="D120" s="5" t="str">
        <f t="shared" si="98"/>
        <v>汉族</v>
      </c>
      <c r="E120" s="5" t="str">
        <f>"北流"</f>
        <v>北流</v>
      </c>
      <c r="F120" s="5" t="str">
        <f t="shared" si="103"/>
        <v>1994年02月</v>
      </c>
      <c r="G120" s="5" t="str">
        <f t="shared" ref="G120:G126" si="104">"共青团员"</f>
        <v>共青团员</v>
      </c>
      <c r="H120" s="5" t="str">
        <f>"广西民族大学体育与健康科学学院体育教育"</f>
        <v>广西民族大学体育与健康科学学院体育教育</v>
      </c>
      <c r="I120" s="5" t="str">
        <f t="shared" si="95"/>
        <v>体育教育</v>
      </c>
      <c r="J120" s="5" t="str">
        <f t="shared" si="99"/>
        <v>本科学士</v>
      </c>
      <c r="K120" s="5" t="str">
        <f t="shared" ref="K120:K123" si="105">"2017.06.01"</f>
        <v>2017.06.01</v>
      </c>
      <c r="L120" s="5" t="str">
        <f t="shared" si="85"/>
        <v>小学</v>
      </c>
      <c r="M120" s="5" t="str">
        <f t="shared" si="92"/>
        <v>106:体育</v>
      </c>
      <c r="N120" s="8">
        <v>20</v>
      </c>
      <c r="O120" s="8">
        <v>42.57</v>
      </c>
      <c r="P120" s="9">
        <f t="shared" si="93"/>
        <v>62.57</v>
      </c>
      <c r="Q120" s="8">
        <v>11</v>
      </c>
    </row>
    <row r="121" spans="1:17" ht="25.5" customHeight="1">
      <c r="A121" s="5">
        <v>119</v>
      </c>
      <c r="B121" s="5" t="str">
        <f>"秦子雄"</f>
        <v>秦子雄</v>
      </c>
      <c r="C121" s="5" t="str">
        <f t="shared" si="102"/>
        <v xml:space="preserve">男        </v>
      </c>
      <c r="D121" s="5" t="str">
        <f t="shared" si="98"/>
        <v>汉族</v>
      </c>
      <c r="E121" s="5" t="str">
        <f t="shared" ref="E121:E129" si="106">"容县"</f>
        <v>容县</v>
      </c>
      <c r="F121" s="5" t="str">
        <f>"1994年04月"</f>
        <v>1994年04月</v>
      </c>
      <c r="G121" s="5" t="str">
        <f t="shared" si="104"/>
        <v>共青团员</v>
      </c>
      <c r="H121" s="5" t="str">
        <f>"广西民族大学体育教育"</f>
        <v>广西民族大学体育教育</v>
      </c>
      <c r="I121" s="5" t="str">
        <f t="shared" si="95"/>
        <v>体育教育</v>
      </c>
      <c r="J121" s="5" t="str">
        <f t="shared" si="99"/>
        <v>本科学士</v>
      </c>
      <c r="K121" s="5" t="str">
        <f>"2017.07.01"</f>
        <v>2017.07.01</v>
      </c>
      <c r="L121" s="5" t="str">
        <f t="shared" si="85"/>
        <v>小学</v>
      </c>
      <c r="M121" s="5" t="str">
        <f t="shared" si="92"/>
        <v>106:体育</v>
      </c>
      <c r="N121" s="8">
        <v>20.5</v>
      </c>
      <c r="O121" s="8">
        <v>41.67</v>
      </c>
      <c r="P121" s="9">
        <f t="shared" si="93"/>
        <v>62.17</v>
      </c>
      <c r="Q121" s="8">
        <v>12</v>
      </c>
    </row>
    <row r="122" spans="1:17" s="10" customFormat="1" ht="25.5" customHeight="1">
      <c r="A122" s="5">
        <v>120</v>
      </c>
      <c r="B122" s="5" t="str">
        <f>"甘发武"</f>
        <v>甘发武</v>
      </c>
      <c r="C122" s="5" t="str">
        <f t="shared" si="102"/>
        <v xml:space="preserve">男        </v>
      </c>
      <c r="D122" s="5" t="str">
        <f t="shared" si="98"/>
        <v>汉族</v>
      </c>
      <c r="E122" s="5" t="str">
        <f>"桂平"</f>
        <v>桂平</v>
      </c>
      <c r="F122" s="5" t="str">
        <f t="shared" si="103"/>
        <v>1994年02月</v>
      </c>
      <c r="G122" s="5" t="str">
        <f t="shared" si="104"/>
        <v>共青团员</v>
      </c>
      <c r="H122" s="5" t="str">
        <f>"百色学院社会体育指导与管理"</f>
        <v>百色学院社会体育指导与管理</v>
      </c>
      <c r="I122" s="5" t="str">
        <f>"社会体育指导与管理"</f>
        <v>社会体育指导与管理</v>
      </c>
      <c r="J122" s="5" t="str">
        <f t="shared" si="99"/>
        <v>本科学士</v>
      </c>
      <c r="K122" s="5" t="str">
        <f t="shared" si="105"/>
        <v>2017.06.01</v>
      </c>
      <c r="L122" s="5" t="str">
        <f t="shared" si="85"/>
        <v>小学</v>
      </c>
      <c r="M122" s="5" t="str">
        <f t="shared" si="92"/>
        <v>106:体育</v>
      </c>
      <c r="N122" s="8">
        <v>24</v>
      </c>
      <c r="O122" s="8">
        <v>38.07</v>
      </c>
      <c r="P122" s="9">
        <f t="shared" si="93"/>
        <v>62.07</v>
      </c>
      <c r="Q122" s="8">
        <v>13</v>
      </c>
    </row>
    <row r="123" spans="1:17" ht="25.5" customHeight="1">
      <c r="A123" s="5">
        <v>121</v>
      </c>
      <c r="B123" s="5" t="str">
        <f>"陈籽名"</f>
        <v>陈籽名</v>
      </c>
      <c r="C123" s="5" t="str">
        <f t="shared" si="102"/>
        <v xml:space="preserve">男        </v>
      </c>
      <c r="D123" s="5" t="str">
        <f t="shared" si="98"/>
        <v>汉族</v>
      </c>
      <c r="E123" s="5" t="str">
        <f>"玉林"</f>
        <v>玉林</v>
      </c>
      <c r="F123" s="5" t="str">
        <f>"1992年01月"</f>
        <v>1992年01月</v>
      </c>
      <c r="G123" s="5" t="str">
        <f t="shared" si="104"/>
        <v>共青团员</v>
      </c>
      <c r="H123" s="5" t="str">
        <f>"玉林师范学院体育教育"</f>
        <v>玉林师范学院体育教育</v>
      </c>
      <c r="I123" s="5" t="str">
        <f t="shared" ref="I123:I125" si="107">"体育教育"</f>
        <v>体育教育</v>
      </c>
      <c r="J123" s="5" t="str">
        <f t="shared" si="99"/>
        <v>本科学士</v>
      </c>
      <c r="K123" s="5" t="str">
        <f t="shared" si="105"/>
        <v>2017.06.01</v>
      </c>
      <c r="L123" s="5" t="str">
        <f t="shared" si="85"/>
        <v>小学</v>
      </c>
      <c r="M123" s="5" t="str">
        <f t="shared" si="92"/>
        <v>106:体育</v>
      </c>
      <c r="N123" s="8">
        <v>19.5</v>
      </c>
      <c r="O123" s="8">
        <v>42.17</v>
      </c>
      <c r="P123" s="9">
        <f t="shared" si="93"/>
        <v>61.67</v>
      </c>
      <c r="Q123" s="8">
        <v>14</v>
      </c>
    </row>
    <row r="124" spans="1:17" ht="25.5" customHeight="1">
      <c r="A124" s="5">
        <v>122</v>
      </c>
      <c r="B124" s="5" t="str">
        <f>"梁海泉"</f>
        <v>梁海泉</v>
      </c>
      <c r="C124" s="5" t="str">
        <f t="shared" si="102"/>
        <v xml:space="preserve">男        </v>
      </c>
      <c r="D124" s="5" t="str">
        <f t="shared" si="98"/>
        <v>汉族</v>
      </c>
      <c r="E124" s="5" t="str">
        <f t="shared" si="106"/>
        <v>容县</v>
      </c>
      <c r="F124" s="5" t="str">
        <f>"1989年05月"</f>
        <v>1989年05月</v>
      </c>
      <c r="G124" s="5" t="str">
        <f t="shared" si="104"/>
        <v>共青团员</v>
      </c>
      <c r="H124" s="5" t="str">
        <f>"百色学院体育教育"</f>
        <v>百色学院体育教育</v>
      </c>
      <c r="I124" s="5" t="str">
        <f t="shared" si="107"/>
        <v>体育教育</v>
      </c>
      <c r="J124" s="5" t="str">
        <f t="shared" si="99"/>
        <v>本科学士</v>
      </c>
      <c r="K124" s="5" t="str">
        <f>"2013.07.01"</f>
        <v>2013.07.01</v>
      </c>
      <c r="L124" s="5" t="str">
        <f t="shared" si="85"/>
        <v>小学</v>
      </c>
      <c r="M124" s="5" t="str">
        <f t="shared" si="92"/>
        <v>106:体育</v>
      </c>
      <c r="N124" s="8">
        <v>18</v>
      </c>
      <c r="O124" s="8">
        <v>43.67</v>
      </c>
      <c r="P124" s="9">
        <f t="shared" si="93"/>
        <v>61.67</v>
      </c>
      <c r="Q124" s="8">
        <v>15</v>
      </c>
    </row>
    <row r="125" spans="1:17" ht="25.5" customHeight="1">
      <c r="A125" s="5">
        <v>123</v>
      </c>
      <c r="B125" s="5" t="str">
        <f>"张小梅"</f>
        <v>张小梅</v>
      </c>
      <c r="C125" s="5" t="str">
        <f t="shared" ref="C125:C131" si="108">"女        "</f>
        <v xml:space="preserve">女        </v>
      </c>
      <c r="D125" s="5" t="str">
        <f t="shared" si="98"/>
        <v>汉族</v>
      </c>
      <c r="E125" s="5" t="str">
        <f t="shared" si="106"/>
        <v>容县</v>
      </c>
      <c r="F125" s="5" t="str">
        <f>"1995年02月"</f>
        <v>1995年02月</v>
      </c>
      <c r="G125" s="5" t="str">
        <f t="shared" si="104"/>
        <v>共青团员</v>
      </c>
      <c r="H125" s="5" t="str">
        <f>"百色学院体育教育"</f>
        <v>百色学院体育教育</v>
      </c>
      <c r="I125" s="5" t="str">
        <f t="shared" si="107"/>
        <v>体育教育</v>
      </c>
      <c r="J125" s="5" t="str">
        <f t="shared" si="99"/>
        <v>本科学士</v>
      </c>
      <c r="K125" s="5" t="str">
        <f>"2017.06.01"</f>
        <v>2017.06.01</v>
      </c>
      <c r="L125" s="5" t="str">
        <f t="shared" si="85"/>
        <v>小学</v>
      </c>
      <c r="M125" s="5" t="str">
        <f t="shared" si="92"/>
        <v>106:体育</v>
      </c>
      <c r="N125" s="8">
        <v>18.5</v>
      </c>
      <c r="O125" s="8">
        <v>42.83</v>
      </c>
      <c r="P125" s="9">
        <f t="shared" si="93"/>
        <v>61.33</v>
      </c>
      <c r="Q125" s="8">
        <v>16</v>
      </c>
    </row>
    <row r="126" spans="1:17" ht="25.5" customHeight="1">
      <c r="A126" s="5">
        <v>124</v>
      </c>
      <c r="B126" s="5" t="str">
        <f>"刘广淼"</f>
        <v>刘广淼</v>
      </c>
      <c r="C126" s="5" t="str">
        <f t="shared" si="108"/>
        <v xml:space="preserve">女        </v>
      </c>
      <c r="D126" s="5" t="str">
        <f t="shared" si="98"/>
        <v>汉族</v>
      </c>
      <c r="E126" s="5" t="str">
        <f t="shared" si="106"/>
        <v>容县</v>
      </c>
      <c r="F126" s="5" t="str">
        <f>"1987年08月"</f>
        <v>1987年08月</v>
      </c>
      <c r="G126" s="5" t="str">
        <f t="shared" si="104"/>
        <v>共青团员</v>
      </c>
      <c r="H126" s="5" t="str">
        <f>"咸宁学院音乐学"</f>
        <v>咸宁学院音乐学</v>
      </c>
      <c r="I126" s="5" t="str">
        <f>"音乐学"</f>
        <v>音乐学</v>
      </c>
      <c r="J126" s="5" t="str">
        <f t="shared" si="99"/>
        <v>本科学士</v>
      </c>
      <c r="K126" s="5" t="str">
        <f>"2010.06.01"</f>
        <v>2010.06.01</v>
      </c>
      <c r="L126" s="5" t="str">
        <f t="shared" si="85"/>
        <v>小学</v>
      </c>
      <c r="M126" s="5" t="str">
        <f t="shared" ref="M126:M143" si="109">"107:音乐"</f>
        <v>107:音乐</v>
      </c>
      <c r="N126" s="8">
        <v>27</v>
      </c>
      <c r="O126" s="8">
        <v>46.63</v>
      </c>
      <c r="P126" s="9">
        <f t="shared" si="93"/>
        <v>73.63</v>
      </c>
      <c r="Q126" s="8">
        <v>1</v>
      </c>
    </row>
    <row r="127" spans="1:17" ht="25.5" customHeight="1">
      <c r="A127" s="5">
        <v>125</v>
      </c>
      <c r="B127" s="5" t="str">
        <f>"植雄"</f>
        <v>植雄</v>
      </c>
      <c r="C127" s="5" t="str">
        <f>"男        "</f>
        <v xml:space="preserve">男        </v>
      </c>
      <c r="D127" s="5" t="str">
        <f t="shared" si="98"/>
        <v>汉族</v>
      </c>
      <c r="E127" s="5" t="str">
        <f t="shared" si="106"/>
        <v>容县</v>
      </c>
      <c r="F127" s="5" t="str">
        <f>"1993年01月"</f>
        <v>1993年01月</v>
      </c>
      <c r="G127" s="5" t="str">
        <f>"中共党员"</f>
        <v>中共党员</v>
      </c>
      <c r="H127" s="5" t="str">
        <f>"湖北科技学院音乐教育"</f>
        <v>湖北科技学院音乐教育</v>
      </c>
      <c r="I127" s="5" t="str">
        <f t="shared" ref="I127:I131" si="110">"音乐教育"</f>
        <v>音乐教育</v>
      </c>
      <c r="J127" s="5" t="str">
        <f t="shared" si="99"/>
        <v>本科学士</v>
      </c>
      <c r="K127" s="5" t="str">
        <f>"2016.06.01"</f>
        <v>2016.06.01</v>
      </c>
      <c r="L127" s="5" t="str">
        <f t="shared" si="85"/>
        <v>小学</v>
      </c>
      <c r="M127" s="5" t="str">
        <f t="shared" si="109"/>
        <v>107:音乐</v>
      </c>
      <c r="N127" s="8">
        <v>27</v>
      </c>
      <c r="O127" s="8">
        <v>45.13</v>
      </c>
      <c r="P127" s="9">
        <f t="shared" si="93"/>
        <v>72.13</v>
      </c>
      <c r="Q127" s="8">
        <v>2</v>
      </c>
    </row>
    <row r="128" spans="1:17" ht="25.5" customHeight="1">
      <c r="A128" s="5">
        <v>126</v>
      </c>
      <c r="B128" s="5" t="str">
        <f>"余洋"</f>
        <v>余洋</v>
      </c>
      <c r="C128" s="5" t="str">
        <f t="shared" si="108"/>
        <v xml:space="preserve">女        </v>
      </c>
      <c r="D128" s="5" t="str">
        <f t="shared" si="98"/>
        <v>汉族</v>
      </c>
      <c r="E128" s="5" t="str">
        <f t="shared" si="106"/>
        <v>容县</v>
      </c>
      <c r="F128" s="5" t="str">
        <f>"1991年09月"</f>
        <v>1991年09月</v>
      </c>
      <c r="G128" s="5" t="str">
        <f t="shared" ref="G128:G132" si="111">"共青团员"</f>
        <v>共青团员</v>
      </c>
      <c r="H128" s="5" t="str">
        <f>"广西师范大学音乐教育"</f>
        <v>广西师范大学音乐教育</v>
      </c>
      <c r="I128" s="5" t="str">
        <f t="shared" si="110"/>
        <v>音乐教育</v>
      </c>
      <c r="J128" s="5" t="str">
        <f t="shared" si="99"/>
        <v>本科学士</v>
      </c>
      <c r="K128" s="5" t="str">
        <f>"2014.06.01"</f>
        <v>2014.06.01</v>
      </c>
      <c r="L128" s="5" t="str">
        <f t="shared" si="85"/>
        <v>小学</v>
      </c>
      <c r="M128" s="5" t="str">
        <f t="shared" si="109"/>
        <v>107:音乐</v>
      </c>
      <c r="N128" s="8">
        <v>23</v>
      </c>
      <c r="O128" s="8">
        <v>49.03</v>
      </c>
      <c r="P128" s="9">
        <f t="shared" si="93"/>
        <v>72.03</v>
      </c>
      <c r="Q128" s="8">
        <v>3</v>
      </c>
    </row>
    <row r="129" spans="1:17" ht="25.5" customHeight="1">
      <c r="A129" s="5">
        <v>127</v>
      </c>
      <c r="B129" s="5" t="str">
        <f>"陈丹琪"</f>
        <v>陈丹琪</v>
      </c>
      <c r="C129" s="5" t="str">
        <f t="shared" si="108"/>
        <v xml:space="preserve">女        </v>
      </c>
      <c r="D129" s="5" t="str">
        <f t="shared" si="98"/>
        <v>汉族</v>
      </c>
      <c r="E129" s="5" t="str">
        <f t="shared" si="106"/>
        <v>容县</v>
      </c>
      <c r="F129" s="5" t="str">
        <f>"1994年02月"</f>
        <v>1994年02月</v>
      </c>
      <c r="G129" s="5" t="str">
        <f t="shared" si="111"/>
        <v>共青团员</v>
      </c>
      <c r="H129" s="5" t="str">
        <f>"玉林师范学院舞蹈学"</f>
        <v>玉林师范学院舞蹈学</v>
      </c>
      <c r="I129" s="5" t="str">
        <f>"舞蹈学"</f>
        <v>舞蹈学</v>
      </c>
      <c r="J129" s="5" t="str">
        <f t="shared" si="99"/>
        <v>本科学士</v>
      </c>
      <c r="K129" s="5" t="str">
        <f>"2015.07.01"</f>
        <v>2015.07.01</v>
      </c>
      <c r="L129" s="5" t="str">
        <f t="shared" si="85"/>
        <v>小学</v>
      </c>
      <c r="M129" s="5" t="str">
        <f t="shared" si="109"/>
        <v>107:音乐</v>
      </c>
      <c r="N129" s="8">
        <v>25</v>
      </c>
      <c r="O129" s="8">
        <v>46.23</v>
      </c>
      <c r="P129" s="9">
        <f t="shared" si="93"/>
        <v>71.22999999999999</v>
      </c>
      <c r="Q129" s="8">
        <v>4</v>
      </c>
    </row>
    <row r="130" spans="1:17" ht="25.5" customHeight="1">
      <c r="A130" s="5">
        <v>128</v>
      </c>
      <c r="B130" s="5" t="str">
        <f>"张梦渟"</f>
        <v>张梦渟</v>
      </c>
      <c r="C130" s="5" t="str">
        <f t="shared" si="108"/>
        <v xml:space="preserve">女        </v>
      </c>
      <c r="D130" s="5" t="str">
        <f t="shared" si="98"/>
        <v>汉族</v>
      </c>
      <c r="E130" s="5" t="str">
        <f>"玉林"</f>
        <v>玉林</v>
      </c>
      <c r="F130" s="5" t="str">
        <f>"1993年07月"</f>
        <v>1993年07月</v>
      </c>
      <c r="G130" s="5" t="str">
        <f t="shared" si="111"/>
        <v>共青团员</v>
      </c>
      <c r="H130" s="5" t="str">
        <f>"广西幼儿师范高等专科学校音乐教育"</f>
        <v>广西幼儿师范高等专科学校音乐教育</v>
      </c>
      <c r="I130" s="5" t="str">
        <f t="shared" si="110"/>
        <v>音乐教育</v>
      </c>
      <c r="J130" s="5" t="str">
        <f t="shared" ref="J130:J135" si="112">"专科无学位"</f>
        <v>专科无学位</v>
      </c>
      <c r="K130" s="5" t="str">
        <f>"2015.06.01"</f>
        <v>2015.06.01</v>
      </c>
      <c r="L130" s="5" t="str">
        <f t="shared" si="85"/>
        <v>小学</v>
      </c>
      <c r="M130" s="5" t="str">
        <f t="shared" si="109"/>
        <v>107:音乐</v>
      </c>
      <c r="N130" s="8">
        <v>27</v>
      </c>
      <c r="O130" s="8">
        <v>43.2</v>
      </c>
      <c r="P130" s="9">
        <f t="shared" si="93"/>
        <v>70.2</v>
      </c>
      <c r="Q130" s="8">
        <v>5</v>
      </c>
    </row>
    <row r="131" spans="1:17" ht="25.5" customHeight="1">
      <c r="A131" s="5">
        <v>129</v>
      </c>
      <c r="B131" s="5" t="str">
        <f>"梁晓露"</f>
        <v>梁晓露</v>
      </c>
      <c r="C131" s="5" t="str">
        <f t="shared" si="108"/>
        <v xml:space="preserve">女        </v>
      </c>
      <c r="D131" s="5" t="str">
        <f t="shared" si="98"/>
        <v>汉族</v>
      </c>
      <c r="E131" s="5" t="str">
        <f>"玉林"</f>
        <v>玉林</v>
      </c>
      <c r="F131" s="5" t="str">
        <f>"1995年01月"</f>
        <v>1995年01月</v>
      </c>
      <c r="G131" s="5" t="str">
        <f t="shared" si="111"/>
        <v>共青团员</v>
      </c>
      <c r="H131" s="5" t="str">
        <f>"广西幼儿师范高等专科学校音乐教育"</f>
        <v>广西幼儿师范高等专科学校音乐教育</v>
      </c>
      <c r="I131" s="5" t="str">
        <f t="shared" si="110"/>
        <v>音乐教育</v>
      </c>
      <c r="J131" s="5" t="str">
        <f t="shared" si="112"/>
        <v>专科无学位</v>
      </c>
      <c r="K131" s="5" t="str">
        <f t="shared" ref="K131:K137" si="113">"2017.06.01"</f>
        <v>2017.06.01</v>
      </c>
      <c r="L131" s="5" t="str">
        <f t="shared" si="85"/>
        <v>小学</v>
      </c>
      <c r="M131" s="5" t="str">
        <f t="shared" si="109"/>
        <v>107:音乐</v>
      </c>
      <c r="N131" s="8">
        <v>24</v>
      </c>
      <c r="O131" s="8">
        <v>46.1</v>
      </c>
      <c r="P131" s="9">
        <f t="shared" si="93"/>
        <v>70.099999999999994</v>
      </c>
      <c r="Q131" s="8">
        <v>6</v>
      </c>
    </row>
    <row r="132" spans="1:17" ht="25.5" customHeight="1">
      <c r="A132" s="5">
        <v>130</v>
      </c>
      <c r="B132" s="5" t="str">
        <f>"李东泽"</f>
        <v>李东泽</v>
      </c>
      <c r="C132" s="5" t="str">
        <f>"男        "</f>
        <v xml:space="preserve">男        </v>
      </c>
      <c r="D132" s="5" t="str">
        <f t="shared" si="98"/>
        <v>汉族</v>
      </c>
      <c r="E132" s="5" t="str">
        <f t="shared" ref="E132:E135" si="114">"容县"</f>
        <v>容县</v>
      </c>
      <c r="F132" s="5" t="str">
        <f>"1992年08月"</f>
        <v>1992年08月</v>
      </c>
      <c r="G132" s="5" t="str">
        <f t="shared" si="111"/>
        <v>共青团员</v>
      </c>
      <c r="H132" s="5" t="str">
        <f>"玉林师范学院音乐学"</f>
        <v>玉林师范学院音乐学</v>
      </c>
      <c r="I132" s="5" t="str">
        <f t="shared" ref="I132:I136" si="115">"音乐学"</f>
        <v>音乐学</v>
      </c>
      <c r="J132" s="5" t="str">
        <f t="shared" ref="J132:J134" si="116">"本科学士"</f>
        <v>本科学士</v>
      </c>
      <c r="K132" s="5" t="str">
        <f t="shared" si="113"/>
        <v>2017.06.01</v>
      </c>
      <c r="L132" s="5" t="str">
        <f t="shared" si="85"/>
        <v>小学</v>
      </c>
      <c r="M132" s="5" t="str">
        <f t="shared" si="109"/>
        <v>107:音乐</v>
      </c>
      <c r="N132" s="8">
        <v>25</v>
      </c>
      <c r="O132" s="8">
        <v>44.6</v>
      </c>
      <c r="P132" s="9">
        <f t="shared" si="93"/>
        <v>69.599999999999994</v>
      </c>
      <c r="Q132" s="8">
        <v>7</v>
      </c>
    </row>
    <row r="133" spans="1:17" s="10" customFormat="1" ht="25.5" customHeight="1">
      <c r="A133" s="5">
        <v>131</v>
      </c>
      <c r="B133" s="5" t="str">
        <f>"李炎华"</f>
        <v>李炎华</v>
      </c>
      <c r="C133" s="5" t="str">
        <f t="shared" ref="C133:C135" si="117">"女        "</f>
        <v xml:space="preserve">女        </v>
      </c>
      <c r="D133" s="5" t="str">
        <f t="shared" si="98"/>
        <v>汉族</v>
      </c>
      <c r="E133" s="5" t="str">
        <f t="shared" si="114"/>
        <v>容县</v>
      </c>
      <c r="F133" s="5" t="str">
        <f>"1989年02月"</f>
        <v>1989年02月</v>
      </c>
      <c r="G133" s="5" t="str">
        <f>"中共预备党员"</f>
        <v>中共预备党员</v>
      </c>
      <c r="H133" s="5" t="str">
        <f>"湖北工程学院音乐学"</f>
        <v>湖北工程学院音乐学</v>
      </c>
      <c r="I133" s="5" t="str">
        <f t="shared" si="115"/>
        <v>音乐学</v>
      </c>
      <c r="J133" s="5" t="str">
        <f t="shared" si="116"/>
        <v>本科学士</v>
      </c>
      <c r="K133" s="5" t="str">
        <f>"2015.06.01"</f>
        <v>2015.06.01</v>
      </c>
      <c r="L133" s="5" t="str">
        <f t="shared" si="85"/>
        <v>小学</v>
      </c>
      <c r="M133" s="5" t="str">
        <f t="shared" si="109"/>
        <v>107:音乐</v>
      </c>
      <c r="N133" s="8">
        <v>26</v>
      </c>
      <c r="O133" s="8">
        <v>43.57</v>
      </c>
      <c r="P133" s="9">
        <f t="shared" si="93"/>
        <v>69.569999999999993</v>
      </c>
      <c r="Q133" s="8">
        <v>8</v>
      </c>
    </row>
    <row r="134" spans="1:17" ht="25.5" customHeight="1">
      <c r="A134" s="5">
        <v>132</v>
      </c>
      <c r="B134" s="5" t="str">
        <f>"朱洋雨"</f>
        <v>朱洋雨</v>
      </c>
      <c r="C134" s="5" t="str">
        <f t="shared" si="117"/>
        <v xml:space="preserve">女        </v>
      </c>
      <c r="D134" s="5" t="str">
        <f t="shared" si="98"/>
        <v>汉族</v>
      </c>
      <c r="E134" s="5" t="str">
        <f t="shared" si="114"/>
        <v>容县</v>
      </c>
      <c r="F134" s="5" t="str">
        <f>"1994年02月"</f>
        <v>1994年02月</v>
      </c>
      <c r="G134" s="5" t="str">
        <f t="shared" ref="G134:G143" si="118">"共青团员"</f>
        <v>共青团员</v>
      </c>
      <c r="H134" s="5" t="str">
        <f>"百色学院音乐表演"</f>
        <v>百色学院音乐表演</v>
      </c>
      <c r="I134" s="5" t="str">
        <f>"音乐表演"</f>
        <v>音乐表演</v>
      </c>
      <c r="J134" s="5" t="str">
        <f t="shared" si="116"/>
        <v>本科学士</v>
      </c>
      <c r="K134" s="5" t="str">
        <f t="shared" si="113"/>
        <v>2017.06.01</v>
      </c>
      <c r="L134" s="5" t="str">
        <f t="shared" si="85"/>
        <v>小学</v>
      </c>
      <c r="M134" s="5" t="str">
        <f t="shared" si="109"/>
        <v>107:音乐</v>
      </c>
      <c r="N134" s="8">
        <v>23</v>
      </c>
      <c r="O134" s="8">
        <v>45.87</v>
      </c>
      <c r="P134" s="9">
        <f t="shared" si="93"/>
        <v>68.87</v>
      </c>
      <c r="Q134" s="8">
        <v>9</v>
      </c>
    </row>
    <row r="135" spans="1:17" ht="25.5" customHeight="1">
      <c r="A135" s="5">
        <v>133</v>
      </c>
      <c r="B135" s="5" t="str">
        <f>"何家燕"</f>
        <v>何家燕</v>
      </c>
      <c r="C135" s="5" t="str">
        <f t="shared" si="117"/>
        <v xml:space="preserve">女        </v>
      </c>
      <c r="D135" s="5" t="str">
        <f t="shared" si="98"/>
        <v>汉族</v>
      </c>
      <c r="E135" s="5" t="str">
        <f t="shared" si="114"/>
        <v>容县</v>
      </c>
      <c r="F135" s="5" t="str">
        <f>"1995年10月"</f>
        <v>1995年10月</v>
      </c>
      <c r="G135" s="5" t="str">
        <f t="shared" si="118"/>
        <v>共青团员</v>
      </c>
      <c r="H135" s="5" t="str">
        <f>"桂林师范高等专科学校音乐教育"</f>
        <v>桂林师范高等专科学校音乐教育</v>
      </c>
      <c r="I135" s="5" t="str">
        <f t="shared" ref="I135:I143" si="119">"音乐教育"</f>
        <v>音乐教育</v>
      </c>
      <c r="J135" s="5" t="str">
        <f t="shared" si="112"/>
        <v>专科无学位</v>
      </c>
      <c r="K135" s="5" t="str">
        <f t="shared" si="113"/>
        <v>2017.06.01</v>
      </c>
      <c r="L135" s="5" t="str">
        <f t="shared" si="85"/>
        <v>小学</v>
      </c>
      <c r="M135" s="5" t="str">
        <f t="shared" si="109"/>
        <v>107:音乐</v>
      </c>
      <c r="N135" s="8">
        <v>24</v>
      </c>
      <c r="O135" s="8">
        <v>44.8</v>
      </c>
      <c r="P135" s="9">
        <f t="shared" si="93"/>
        <v>68.8</v>
      </c>
      <c r="Q135" s="8">
        <v>10</v>
      </c>
    </row>
    <row r="136" spans="1:17" ht="25.5" customHeight="1">
      <c r="A136" s="5">
        <v>134</v>
      </c>
      <c r="B136" s="5" t="str">
        <f>"卢林宇"</f>
        <v>卢林宇</v>
      </c>
      <c r="C136" s="5" t="str">
        <f>"男        "</f>
        <v xml:space="preserve">男        </v>
      </c>
      <c r="D136" s="5" t="str">
        <f t="shared" si="98"/>
        <v>汉族</v>
      </c>
      <c r="E136" s="5" t="str">
        <f>"北流市"</f>
        <v>北流市</v>
      </c>
      <c r="F136" s="5" t="str">
        <f>"1993年08月"</f>
        <v>1993年08月</v>
      </c>
      <c r="G136" s="5" t="str">
        <f t="shared" si="118"/>
        <v>共青团员</v>
      </c>
      <c r="H136" s="5" t="str">
        <f>"大理大学音乐学"</f>
        <v>大理大学音乐学</v>
      </c>
      <c r="I136" s="5" t="str">
        <f t="shared" si="115"/>
        <v>音乐学</v>
      </c>
      <c r="J136" s="5" t="str">
        <f t="shared" ref="J136:J139" si="120">"本科学士"</f>
        <v>本科学士</v>
      </c>
      <c r="K136" s="5" t="str">
        <f t="shared" si="113"/>
        <v>2017.06.01</v>
      </c>
      <c r="L136" s="5" t="str">
        <f t="shared" si="85"/>
        <v>小学</v>
      </c>
      <c r="M136" s="5" t="str">
        <f t="shared" si="109"/>
        <v>107:音乐</v>
      </c>
      <c r="N136" s="8">
        <v>21</v>
      </c>
      <c r="O136" s="8">
        <v>46.67</v>
      </c>
      <c r="P136" s="9">
        <f t="shared" si="93"/>
        <v>67.67</v>
      </c>
      <c r="Q136" s="8">
        <v>11</v>
      </c>
    </row>
    <row r="137" spans="1:17" ht="25.5" customHeight="1">
      <c r="A137" s="5">
        <v>135</v>
      </c>
      <c r="B137" s="5" t="str">
        <f>"谢殷蔚"</f>
        <v>谢殷蔚</v>
      </c>
      <c r="C137" s="5" t="str">
        <f t="shared" ref="C137:C140" si="121">"女        "</f>
        <v xml:space="preserve">女        </v>
      </c>
      <c r="D137" s="5" t="str">
        <f t="shared" si="98"/>
        <v>汉族</v>
      </c>
      <c r="E137" s="5" t="str">
        <f t="shared" ref="E137:E140" si="122">"容县"</f>
        <v>容县</v>
      </c>
      <c r="F137" s="5" t="str">
        <f>"1994年09月"</f>
        <v>1994年09月</v>
      </c>
      <c r="G137" s="5" t="str">
        <f t="shared" si="118"/>
        <v>共青团员</v>
      </c>
      <c r="H137" s="5" t="str">
        <f>"广西艺术学院艺术教育"</f>
        <v>广西艺术学院艺术教育</v>
      </c>
      <c r="I137" s="5" t="str">
        <f>"艺术教育"</f>
        <v>艺术教育</v>
      </c>
      <c r="J137" s="5" t="str">
        <f t="shared" si="120"/>
        <v>本科学士</v>
      </c>
      <c r="K137" s="5" t="str">
        <f t="shared" si="113"/>
        <v>2017.06.01</v>
      </c>
      <c r="L137" s="5" t="str">
        <f t="shared" si="85"/>
        <v>小学</v>
      </c>
      <c r="M137" s="5" t="str">
        <f t="shared" si="109"/>
        <v>107:音乐</v>
      </c>
      <c r="N137" s="8">
        <v>25</v>
      </c>
      <c r="O137" s="8">
        <v>42.6</v>
      </c>
      <c r="P137" s="9">
        <f t="shared" si="93"/>
        <v>67.599999999999994</v>
      </c>
      <c r="Q137" s="8">
        <v>12</v>
      </c>
    </row>
    <row r="138" spans="1:17" ht="25.5" customHeight="1">
      <c r="A138" s="5">
        <v>136</v>
      </c>
      <c r="B138" s="5" t="str">
        <f>"向俊"</f>
        <v>向俊</v>
      </c>
      <c r="C138" s="5" t="str">
        <f t="shared" si="121"/>
        <v xml:space="preserve">女        </v>
      </c>
      <c r="D138" s="5" t="str">
        <f t="shared" si="98"/>
        <v>汉族</v>
      </c>
      <c r="E138" s="5" t="str">
        <f>"湖南"</f>
        <v>湖南</v>
      </c>
      <c r="F138" s="5" t="str">
        <f>"1995年11月"</f>
        <v>1995年11月</v>
      </c>
      <c r="G138" s="5" t="str">
        <f t="shared" si="118"/>
        <v>共青团员</v>
      </c>
      <c r="H138" s="5" t="str">
        <f>"长沙师范学院音乐教育"</f>
        <v>长沙师范学院音乐教育</v>
      </c>
      <c r="I138" s="5" t="str">
        <f t="shared" si="119"/>
        <v>音乐教育</v>
      </c>
      <c r="J138" s="5" t="str">
        <f t="shared" ref="J138:J143" si="123">"专科无学位"</f>
        <v>专科无学位</v>
      </c>
      <c r="K138" s="5" t="str">
        <f>"2016.06.01"</f>
        <v>2016.06.01</v>
      </c>
      <c r="L138" s="5" t="str">
        <f t="shared" si="85"/>
        <v>小学</v>
      </c>
      <c r="M138" s="5" t="str">
        <f t="shared" si="109"/>
        <v>107:音乐</v>
      </c>
      <c r="N138" s="8">
        <v>23</v>
      </c>
      <c r="O138" s="8">
        <v>44.1</v>
      </c>
      <c r="P138" s="9">
        <f t="shared" si="93"/>
        <v>67.099999999999994</v>
      </c>
      <c r="Q138" s="8">
        <v>13</v>
      </c>
    </row>
    <row r="139" spans="1:17" s="10" customFormat="1" ht="25.5" customHeight="1">
      <c r="A139" s="5">
        <v>137</v>
      </c>
      <c r="B139" s="5" t="str">
        <f>"刘晓霞"</f>
        <v>刘晓霞</v>
      </c>
      <c r="C139" s="5" t="str">
        <f t="shared" si="121"/>
        <v xml:space="preserve">女        </v>
      </c>
      <c r="D139" s="5" t="str">
        <f t="shared" si="98"/>
        <v>汉族</v>
      </c>
      <c r="E139" s="5" t="str">
        <f t="shared" si="122"/>
        <v>容县</v>
      </c>
      <c r="F139" s="5" t="str">
        <f>"1992年12月"</f>
        <v>1992年12月</v>
      </c>
      <c r="G139" s="5" t="str">
        <f t="shared" si="118"/>
        <v>共青团员</v>
      </c>
      <c r="H139" s="5" t="str">
        <f>"广西师范学院音乐学"</f>
        <v>广西师范学院音乐学</v>
      </c>
      <c r="I139" s="5" t="str">
        <f>"音乐学"</f>
        <v>音乐学</v>
      </c>
      <c r="J139" s="5" t="str">
        <f t="shared" si="120"/>
        <v>本科学士</v>
      </c>
      <c r="K139" s="5" t="str">
        <f>"2017.07.01"</f>
        <v>2017.07.01</v>
      </c>
      <c r="L139" s="5" t="str">
        <f t="shared" si="85"/>
        <v>小学</v>
      </c>
      <c r="M139" s="5" t="str">
        <f t="shared" si="109"/>
        <v>107:音乐</v>
      </c>
      <c r="N139" s="8">
        <v>26</v>
      </c>
      <c r="O139" s="8">
        <v>40.53</v>
      </c>
      <c r="P139" s="9">
        <f t="shared" si="93"/>
        <v>66.53</v>
      </c>
      <c r="Q139" s="8">
        <v>14</v>
      </c>
    </row>
    <row r="140" spans="1:17" ht="25.5" customHeight="1">
      <c r="A140" s="5">
        <v>138</v>
      </c>
      <c r="B140" s="5" t="str">
        <f>"李洁凤"</f>
        <v>李洁凤</v>
      </c>
      <c r="C140" s="5" t="str">
        <f t="shared" si="121"/>
        <v xml:space="preserve">女        </v>
      </c>
      <c r="D140" s="5" t="str">
        <f t="shared" si="98"/>
        <v>汉族</v>
      </c>
      <c r="E140" s="5" t="str">
        <f t="shared" si="122"/>
        <v>容县</v>
      </c>
      <c r="F140" s="5" t="str">
        <f>"1990年12月"</f>
        <v>1990年12月</v>
      </c>
      <c r="G140" s="5" t="str">
        <f t="shared" si="118"/>
        <v>共青团员</v>
      </c>
      <c r="H140" s="5" t="str">
        <f>"广西幼儿师范高等专科学校音乐教育"</f>
        <v>广西幼儿师范高等专科学校音乐教育</v>
      </c>
      <c r="I140" s="5" t="str">
        <f t="shared" si="119"/>
        <v>音乐教育</v>
      </c>
      <c r="J140" s="5" t="str">
        <f t="shared" si="123"/>
        <v>专科无学位</v>
      </c>
      <c r="K140" s="5" t="str">
        <f>"2014.06.01"</f>
        <v>2014.06.01</v>
      </c>
      <c r="L140" s="5" t="str">
        <f t="shared" si="85"/>
        <v>小学</v>
      </c>
      <c r="M140" s="5" t="str">
        <f t="shared" si="109"/>
        <v>107:音乐</v>
      </c>
      <c r="N140" s="8">
        <v>23</v>
      </c>
      <c r="O140" s="8">
        <v>42.53</v>
      </c>
      <c r="P140" s="9">
        <f t="shared" si="93"/>
        <v>65.53</v>
      </c>
      <c r="Q140" s="8">
        <v>15</v>
      </c>
    </row>
    <row r="141" spans="1:17" s="10" customFormat="1" ht="25.5" customHeight="1">
      <c r="A141" s="5">
        <v>139</v>
      </c>
      <c r="B141" s="5" t="str">
        <f>"徐俊斌"</f>
        <v>徐俊斌</v>
      </c>
      <c r="C141" s="5" t="str">
        <f>"男        "</f>
        <v xml:space="preserve">男        </v>
      </c>
      <c r="D141" s="5" t="str">
        <f t="shared" si="98"/>
        <v>汉族</v>
      </c>
      <c r="E141" s="5" t="str">
        <f>"湖南省醴陵市"</f>
        <v>湖南省醴陵市</v>
      </c>
      <c r="F141" s="5" t="str">
        <f>"1988年04月"</f>
        <v>1988年04月</v>
      </c>
      <c r="G141" s="5" t="str">
        <f t="shared" si="118"/>
        <v>共青团员</v>
      </c>
      <c r="H141" s="5" t="str">
        <f>"湘南学院音乐教育"</f>
        <v>湘南学院音乐教育</v>
      </c>
      <c r="I141" s="5" t="str">
        <f t="shared" si="119"/>
        <v>音乐教育</v>
      </c>
      <c r="J141" s="5" t="str">
        <f t="shared" si="123"/>
        <v>专科无学位</v>
      </c>
      <c r="K141" s="5" t="str">
        <f>"2010.06.01"</f>
        <v>2010.06.01</v>
      </c>
      <c r="L141" s="5" t="str">
        <f t="shared" si="85"/>
        <v>小学</v>
      </c>
      <c r="M141" s="5" t="str">
        <f t="shared" si="109"/>
        <v>107:音乐</v>
      </c>
      <c r="N141" s="8">
        <v>20</v>
      </c>
      <c r="O141" s="8">
        <v>45.4</v>
      </c>
      <c r="P141" s="9">
        <f t="shared" si="93"/>
        <v>65.400000000000006</v>
      </c>
      <c r="Q141" s="8">
        <v>16</v>
      </c>
    </row>
    <row r="142" spans="1:17" s="10" customFormat="1" ht="25.5" customHeight="1">
      <c r="A142" s="5">
        <v>140</v>
      </c>
      <c r="B142" s="5" t="str">
        <f>"梁福玲"</f>
        <v>梁福玲</v>
      </c>
      <c r="C142" s="5" t="str">
        <f t="shared" ref="C142:C152" si="124">"女        "</f>
        <v xml:space="preserve">女        </v>
      </c>
      <c r="D142" s="5" t="str">
        <f t="shared" si="98"/>
        <v>汉族</v>
      </c>
      <c r="E142" s="5" t="s">
        <v>18</v>
      </c>
      <c r="F142" s="5" t="str">
        <f>"1995年11月"</f>
        <v>1995年11月</v>
      </c>
      <c r="G142" s="5" t="str">
        <f t="shared" si="118"/>
        <v>共青团员</v>
      </c>
      <c r="H142" s="5" t="str">
        <f>"广西教育学院音乐教育"</f>
        <v>广西教育学院音乐教育</v>
      </c>
      <c r="I142" s="5" t="str">
        <f t="shared" si="119"/>
        <v>音乐教育</v>
      </c>
      <c r="J142" s="5" t="str">
        <f t="shared" si="123"/>
        <v>专科无学位</v>
      </c>
      <c r="K142" s="5" t="str">
        <f>"2017.07.01"</f>
        <v>2017.07.01</v>
      </c>
      <c r="L142" s="5" t="str">
        <f t="shared" si="85"/>
        <v>小学</v>
      </c>
      <c r="M142" s="5" t="str">
        <f t="shared" si="109"/>
        <v>107:音乐</v>
      </c>
      <c r="N142" s="8">
        <v>22</v>
      </c>
      <c r="O142" s="8">
        <v>41.5</v>
      </c>
      <c r="P142" s="9">
        <f t="shared" si="93"/>
        <v>63.5</v>
      </c>
      <c r="Q142" s="8">
        <v>17</v>
      </c>
    </row>
    <row r="143" spans="1:17" ht="25.5" customHeight="1">
      <c r="A143" s="5">
        <v>141</v>
      </c>
      <c r="B143" s="5" t="str">
        <f>"吴月华"</f>
        <v>吴月华</v>
      </c>
      <c r="C143" s="5" t="str">
        <f t="shared" si="124"/>
        <v xml:space="preserve">女        </v>
      </c>
      <c r="D143" s="5" t="str">
        <f>"土家族"</f>
        <v>土家族</v>
      </c>
      <c r="E143" s="5" t="str">
        <f>"湖南"</f>
        <v>湖南</v>
      </c>
      <c r="F143" s="5" t="str">
        <f>"1994年03月"</f>
        <v>1994年03月</v>
      </c>
      <c r="G143" s="5" t="str">
        <f t="shared" si="118"/>
        <v>共青团员</v>
      </c>
      <c r="H143" s="5" t="str">
        <f>"长沙师范学院音乐教育"</f>
        <v>长沙师范学院音乐教育</v>
      </c>
      <c r="I143" s="5" t="str">
        <f t="shared" si="119"/>
        <v>音乐教育</v>
      </c>
      <c r="J143" s="5" t="str">
        <f t="shared" si="123"/>
        <v>专科无学位</v>
      </c>
      <c r="K143" s="5" t="str">
        <f>"2016.06.01"</f>
        <v>2016.06.01</v>
      </c>
      <c r="L143" s="5" t="str">
        <f t="shared" si="85"/>
        <v>小学</v>
      </c>
      <c r="M143" s="5" t="str">
        <f t="shared" si="109"/>
        <v>107:音乐</v>
      </c>
      <c r="N143" s="8">
        <v>20</v>
      </c>
      <c r="O143" s="8">
        <v>43.17</v>
      </c>
      <c r="P143" s="9">
        <f t="shared" si="93"/>
        <v>63.17</v>
      </c>
      <c r="Q143" s="8">
        <v>18</v>
      </c>
    </row>
    <row r="144" spans="1:17" ht="21.95" customHeight="1">
      <c r="A144" s="5">
        <v>142</v>
      </c>
      <c r="B144" s="5" t="str">
        <f>"杨金蓝"</f>
        <v>杨金蓝</v>
      </c>
      <c r="C144" s="5" t="str">
        <f t="shared" si="124"/>
        <v xml:space="preserve">女        </v>
      </c>
      <c r="D144" s="5" t="str">
        <f t="shared" ref="D144:D149" si="125">"汉族"</f>
        <v>汉族</v>
      </c>
      <c r="E144" s="5" t="str">
        <f t="shared" ref="E144:E146" si="126">"容县"</f>
        <v>容县</v>
      </c>
      <c r="F144" s="5" t="str">
        <f>"1991年12月"</f>
        <v>1991年12月</v>
      </c>
      <c r="G144" s="5" t="str">
        <f>"中共党员"</f>
        <v>中共党员</v>
      </c>
      <c r="H144" s="5" t="str">
        <f>"广西大学艺术学院美术学"</f>
        <v>广西大学艺术学院美术学</v>
      </c>
      <c r="I144" s="5" t="str">
        <f>"美术学"</f>
        <v>美术学</v>
      </c>
      <c r="J144" s="5" t="str">
        <f t="shared" ref="J144:J147" si="127">"本科学士"</f>
        <v>本科学士</v>
      </c>
      <c r="K144" s="5" t="str">
        <f>"2014.06.01"</f>
        <v>2014.06.01</v>
      </c>
      <c r="L144" s="5" t="str">
        <f t="shared" si="85"/>
        <v>小学</v>
      </c>
      <c r="M144" s="5" t="str">
        <f t="shared" ref="M144:M161" si="128">"108:美术"</f>
        <v>108:美术</v>
      </c>
      <c r="N144" s="8">
        <v>29</v>
      </c>
      <c r="O144" s="8">
        <v>49.07</v>
      </c>
      <c r="P144" s="9">
        <f t="shared" ref="P144:P161" si="129">N144+O144</f>
        <v>78.069999999999993</v>
      </c>
      <c r="Q144" s="8">
        <v>1</v>
      </c>
    </row>
    <row r="145" spans="1:17" ht="21.95" customHeight="1">
      <c r="A145" s="5">
        <v>143</v>
      </c>
      <c r="B145" s="5" t="str">
        <f>"封力铭"</f>
        <v>封力铭</v>
      </c>
      <c r="C145" s="5" t="str">
        <f t="shared" si="124"/>
        <v xml:space="preserve">女        </v>
      </c>
      <c r="D145" s="5" t="str">
        <f t="shared" si="125"/>
        <v>汉族</v>
      </c>
      <c r="E145" s="5" t="str">
        <f t="shared" si="126"/>
        <v>容县</v>
      </c>
      <c r="F145" s="5" t="str">
        <f>"1994年04月"</f>
        <v>1994年04月</v>
      </c>
      <c r="G145" s="5" t="str">
        <f t="shared" ref="G145:G150" si="130">"共青团员"</f>
        <v>共青团员</v>
      </c>
      <c r="H145" s="5" t="str">
        <f>"中南民族大学视觉传达设计"</f>
        <v>中南民族大学视觉传达设计</v>
      </c>
      <c r="I145" s="5" t="str">
        <f>"视觉传达设计"</f>
        <v>视觉传达设计</v>
      </c>
      <c r="J145" s="5" t="str">
        <f t="shared" si="127"/>
        <v>本科学士</v>
      </c>
      <c r="K145" s="5" t="str">
        <f>"2017.06.01"</f>
        <v>2017.06.01</v>
      </c>
      <c r="L145" s="5" t="str">
        <f t="shared" si="85"/>
        <v>小学</v>
      </c>
      <c r="M145" s="5" t="str">
        <f t="shared" si="128"/>
        <v>108:美术</v>
      </c>
      <c r="N145" s="8">
        <v>27</v>
      </c>
      <c r="O145" s="8">
        <v>47.93</v>
      </c>
      <c r="P145" s="9">
        <f t="shared" si="129"/>
        <v>74.930000000000007</v>
      </c>
      <c r="Q145" s="8">
        <v>2</v>
      </c>
    </row>
    <row r="146" spans="1:17" ht="21.95" customHeight="1">
      <c r="A146" s="5">
        <v>144</v>
      </c>
      <c r="B146" s="5" t="str">
        <f>"曾宪格"</f>
        <v>曾宪格</v>
      </c>
      <c r="C146" s="5" t="str">
        <f t="shared" si="124"/>
        <v xml:space="preserve">女        </v>
      </c>
      <c r="D146" s="5" t="str">
        <f t="shared" si="125"/>
        <v>汉族</v>
      </c>
      <c r="E146" s="5" t="str">
        <f t="shared" si="126"/>
        <v>容县</v>
      </c>
      <c r="F146" s="5" t="str">
        <f>"1992年02月"</f>
        <v>1992年02月</v>
      </c>
      <c r="G146" s="5" t="str">
        <f t="shared" ref="G146:G149" si="131">"群众"</f>
        <v>群众</v>
      </c>
      <c r="H146" s="5" t="str">
        <f t="shared" ref="H146:H151" si="132">"广西师范大学艺术设计"</f>
        <v>广西师范大学艺术设计</v>
      </c>
      <c r="I146" s="5" t="str">
        <f t="shared" ref="I146:I151" si="133">"艺术设计"</f>
        <v>艺术设计</v>
      </c>
      <c r="J146" s="5" t="str">
        <f t="shared" si="127"/>
        <v>本科学士</v>
      </c>
      <c r="K146" s="5" t="str">
        <f>"2016.06.01"</f>
        <v>2016.06.01</v>
      </c>
      <c r="L146" s="5" t="str">
        <f t="shared" si="85"/>
        <v>小学</v>
      </c>
      <c r="M146" s="5" t="str">
        <f t="shared" si="128"/>
        <v>108:美术</v>
      </c>
      <c r="N146" s="8">
        <v>25</v>
      </c>
      <c r="O146" s="8">
        <v>47.43</v>
      </c>
      <c r="P146" s="9">
        <f t="shared" si="129"/>
        <v>72.430000000000007</v>
      </c>
      <c r="Q146" s="8">
        <v>3</v>
      </c>
    </row>
    <row r="147" spans="1:17" ht="21.95" customHeight="1">
      <c r="A147" s="5">
        <v>145</v>
      </c>
      <c r="B147" s="5" t="str">
        <f>"梁萍萍"</f>
        <v>梁萍萍</v>
      </c>
      <c r="C147" s="5" t="str">
        <f t="shared" si="124"/>
        <v xml:space="preserve">女        </v>
      </c>
      <c r="D147" s="5" t="str">
        <f t="shared" si="125"/>
        <v>汉族</v>
      </c>
      <c r="E147" s="5" t="str">
        <f t="shared" ref="E147:E151" si="134">"玉林"</f>
        <v>玉林</v>
      </c>
      <c r="F147" s="5" t="str">
        <f>"1995年01月"</f>
        <v>1995年01月</v>
      </c>
      <c r="G147" s="5" t="str">
        <f t="shared" si="130"/>
        <v>共青团员</v>
      </c>
      <c r="H147" s="5" t="str">
        <f>"广西艺术学院书法"</f>
        <v>广西艺术学院书法</v>
      </c>
      <c r="I147" s="5" t="str">
        <f>"书法"</f>
        <v>书法</v>
      </c>
      <c r="J147" s="5" t="str">
        <f t="shared" si="127"/>
        <v>本科学士</v>
      </c>
      <c r="K147" s="5" t="str">
        <f>"2017.06.01"</f>
        <v>2017.06.01</v>
      </c>
      <c r="L147" s="5" t="str">
        <f t="shared" si="85"/>
        <v>小学</v>
      </c>
      <c r="M147" s="5" t="str">
        <f t="shared" si="128"/>
        <v>108:美术</v>
      </c>
      <c r="N147" s="8">
        <v>23</v>
      </c>
      <c r="O147" s="8">
        <v>48.5</v>
      </c>
      <c r="P147" s="9">
        <f t="shared" si="129"/>
        <v>71.5</v>
      </c>
      <c r="Q147" s="8">
        <v>4</v>
      </c>
    </row>
    <row r="148" spans="1:17" ht="21.95" customHeight="1">
      <c r="A148" s="5">
        <v>146</v>
      </c>
      <c r="B148" s="5" t="str">
        <f>"李冰"</f>
        <v>李冰</v>
      </c>
      <c r="C148" s="5" t="str">
        <f t="shared" si="124"/>
        <v xml:space="preserve">女        </v>
      </c>
      <c r="D148" s="5" t="str">
        <f t="shared" si="125"/>
        <v>汉族</v>
      </c>
      <c r="E148" s="5" t="str">
        <f t="shared" si="134"/>
        <v>玉林</v>
      </c>
      <c r="F148" s="5" t="str">
        <f>"1993年03月"</f>
        <v>1993年03月</v>
      </c>
      <c r="G148" s="5" t="str">
        <f t="shared" si="131"/>
        <v>群众</v>
      </c>
      <c r="H148" s="5" t="str">
        <f>"广西幼儿师范高等专科学校美术教育"</f>
        <v>广西幼儿师范高等专科学校美术教育</v>
      </c>
      <c r="I148" s="5" t="str">
        <f>"美术教育"</f>
        <v>美术教育</v>
      </c>
      <c r="J148" s="5" t="str">
        <f>"专科无学位"</f>
        <v>专科无学位</v>
      </c>
      <c r="K148" s="5" t="str">
        <f>"2014.06.01"</f>
        <v>2014.06.01</v>
      </c>
      <c r="L148" s="5" t="str">
        <f t="shared" si="85"/>
        <v>小学</v>
      </c>
      <c r="M148" s="5" t="str">
        <f t="shared" si="128"/>
        <v>108:美术</v>
      </c>
      <c r="N148" s="8">
        <v>21</v>
      </c>
      <c r="O148" s="8">
        <v>48.83</v>
      </c>
      <c r="P148" s="9">
        <f t="shared" si="129"/>
        <v>69.83</v>
      </c>
      <c r="Q148" s="8">
        <v>5</v>
      </c>
    </row>
    <row r="149" spans="1:17" ht="21.95" customHeight="1">
      <c r="A149" s="5">
        <v>147</v>
      </c>
      <c r="B149" s="5" t="str">
        <f>"梁雪"</f>
        <v>梁雪</v>
      </c>
      <c r="C149" s="5" t="str">
        <f t="shared" si="124"/>
        <v xml:space="preserve">女        </v>
      </c>
      <c r="D149" s="5" t="str">
        <f t="shared" si="125"/>
        <v>汉族</v>
      </c>
      <c r="E149" s="5" t="str">
        <f>"容县"</f>
        <v>容县</v>
      </c>
      <c r="F149" s="5" t="str">
        <f>"1993年04月"</f>
        <v>1993年04月</v>
      </c>
      <c r="G149" s="5" t="str">
        <f t="shared" si="131"/>
        <v>群众</v>
      </c>
      <c r="H149" s="5" t="str">
        <f t="shared" si="132"/>
        <v>广西师范大学艺术设计</v>
      </c>
      <c r="I149" s="5" t="str">
        <f t="shared" si="133"/>
        <v>艺术设计</v>
      </c>
      <c r="J149" s="5" t="str">
        <f t="shared" ref="J149:J152" si="135">"本科学士"</f>
        <v>本科学士</v>
      </c>
      <c r="K149" s="5" t="str">
        <f>"2016.11.01"</f>
        <v>2016.11.01</v>
      </c>
      <c r="L149" s="5" t="str">
        <f t="shared" si="85"/>
        <v>小学</v>
      </c>
      <c r="M149" s="5" t="str">
        <f t="shared" si="128"/>
        <v>108:美术</v>
      </c>
      <c r="N149" s="8">
        <v>22</v>
      </c>
      <c r="O149" s="8">
        <v>47.77</v>
      </c>
      <c r="P149" s="9">
        <f t="shared" si="129"/>
        <v>69.77000000000001</v>
      </c>
      <c r="Q149" s="8">
        <v>6</v>
      </c>
    </row>
    <row r="150" spans="1:17" ht="21.95" customHeight="1">
      <c r="A150" s="5">
        <v>148</v>
      </c>
      <c r="B150" s="5" t="str">
        <f>"梁冬丽"</f>
        <v>梁冬丽</v>
      </c>
      <c r="C150" s="5" t="str">
        <f t="shared" si="124"/>
        <v xml:space="preserve">女        </v>
      </c>
      <c r="D150" s="5" t="str">
        <f>"壮族"</f>
        <v>壮族</v>
      </c>
      <c r="E150" s="5" t="str">
        <f>"兴业县"</f>
        <v>兴业县</v>
      </c>
      <c r="F150" s="5" t="str">
        <f>"1992年04月"</f>
        <v>1992年04月</v>
      </c>
      <c r="G150" s="5" t="str">
        <f t="shared" si="130"/>
        <v>共青团员</v>
      </c>
      <c r="H150" s="5" t="str">
        <f>"百色学院艺术设计"</f>
        <v>百色学院艺术设计</v>
      </c>
      <c r="I150" s="5" t="str">
        <f t="shared" si="133"/>
        <v>艺术设计</v>
      </c>
      <c r="J150" s="5" t="str">
        <f t="shared" si="135"/>
        <v>本科学士</v>
      </c>
      <c r="K150" s="5" t="str">
        <f>"2015.06.01"</f>
        <v>2015.06.01</v>
      </c>
      <c r="L150" s="5" t="str">
        <f t="shared" si="85"/>
        <v>小学</v>
      </c>
      <c r="M150" s="5" t="str">
        <f t="shared" si="128"/>
        <v>108:美术</v>
      </c>
      <c r="N150" s="8">
        <v>21</v>
      </c>
      <c r="O150" s="8">
        <v>48.73</v>
      </c>
      <c r="P150" s="9">
        <f t="shared" si="129"/>
        <v>69.72999999999999</v>
      </c>
      <c r="Q150" s="8">
        <v>7</v>
      </c>
    </row>
    <row r="151" spans="1:17" ht="21.95" customHeight="1">
      <c r="A151" s="5">
        <v>149</v>
      </c>
      <c r="B151" s="5" t="str">
        <f>"李金燕"</f>
        <v>李金燕</v>
      </c>
      <c r="C151" s="5" t="str">
        <f t="shared" si="124"/>
        <v xml:space="preserve">女        </v>
      </c>
      <c r="D151" s="5" t="str">
        <f t="shared" ref="D151:D158" si="136">"汉族"</f>
        <v>汉族</v>
      </c>
      <c r="E151" s="5" t="str">
        <f t="shared" si="134"/>
        <v>玉林</v>
      </c>
      <c r="F151" s="5" t="str">
        <f>"1987年06月"</f>
        <v>1987年06月</v>
      </c>
      <c r="G151" s="5" t="str">
        <f>"群众"</f>
        <v>群众</v>
      </c>
      <c r="H151" s="5" t="str">
        <f t="shared" si="132"/>
        <v>广西师范大学艺术设计</v>
      </c>
      <c r="I151" s="5" t="str">
        <f t="shared" si="133"/>
        <v>艺术设计</v>
      </c>
      <c r="J151" s="5" t="str">
        <f t="shared" si="135"/>
        <v>本科学士</v>
      </c>
      <c r="K151" s="5" t="str">
        <f>"2010.09.01"</f>
        <v>2010.09.01</v>
      </c>
      <c r="L151" s="5" t="str">
        <f t="shared" si="85"/>
        <v>小学</v>
      </c>
      <c r="M151" s="5" t="str">
        <f t="shared" si="128"/>
        <v>108:美术</v>
      </c>
      <c r="N151" s="8">
        <v>23</v>
      </c>
      <c r="O151" s="8">
        <v>46.3</v>
      </c>
      <c r="P151" s="9">
        <f t="shared" si="129"/>
        <v>69.3</v>
      </c>
      <c r="Q151" s="8">
        <v>8</v>
      </c>
    </row>
    <row r="152" spans="1:17" ht="21.95" customHeight="1">
      <c r="A152" s="5">
        <v>150</v>
      </c>
      <c r="B152" s="5" t="str">
        <f>"黎华梅"</f>
        <v>黎华梅</v>
      </c>
      <c r="C152" s="5" t="str">
        <f t="shared" si="124"/>
        <v xml:space="preserve">女        </v>
      </c>
      <c r="D152" s="5" t="str">
        <f t="shared" si="136"/>
        <v>汉族</v>
      </c>
      <c r="E152" s="5" t="str">
        <f>""</f>
        <v/>
      </c>
      <c r="F152" s="5" t="str">
        <f>"1991年10月"</f>
        <v>1991年10月</v>
      </c>
      <c r="G152" s="5" t="str">
        <f t="shared" ref="G152:G168" si="137">"共青团员"</f>
        <v>共青团员</v>
      </c>
      <c r="H152" s="5" t="str">
        <f>"湖北工程学院美术学"</f>
        <v>湖北工程学院美术学</v>
      </c>
      <c r="I152" s="5" t="str">
        <f>"美术学"</f>
        <v>美术学</v>
      </c>
      <c r="J152" s="5" t="str">
        <f t="shared" si="135"/>
        <v>本科学士</v>
      </c>
      <c r="K152" s="5" t="str">
        <f>"2015.06.01"</f>
        <v>2015.06.01</v>
      </c>
      <c r="L152" s="5" t="str">
        <f t="shared" si="85"/>
        <v>小学</v>
      </c>
      <c r="M152" s="5" t="str">
        <f t="shared" si="128"/>
        <v>108:美术</v>
      </c>
      <c r="N152" s="8">
        <v>24</v>
      </c>
      <c r="O152" s="8">
        <v>44.23</v>
      </c>
      <c r="P152" s="9">
        <f t="shared" si="129"/>
        <v>68.22999999999999</v>
      </c>
      <c r="Q152" s="8">
        <v>9</v>
      </c>
    </row>
    <row r="153" spans="1:17" ht="21.95" customHeight="1">
      <c r="A153" s="5">
        <v>151</v>
      </c>
      <c r="B153" s="5" t="str">
        <f>"梁少波"</f>
        <v>梁少波</v>
      </c>
      <c r="C153" s="5" t="str">
        <f>"男        "</f>
        <v xml:space="preserve">男        </v>
      </c>
      <c r="D153" s="5" t="str">
        <f t="shared" si="136"/>
        <v>汉族</v>
      </c>
      <c r="E153" s="5" t="str">
        <f>"陆川县"</f>
        <v>陆川县</v>
      </c>
      <c r="F153" s="5" t="str">
        <f>"1990年12月"</f>
        <v>1990年12月</v>
      </c>
      <c r="G153" s="5" t="str">
        <f t="shared" si="137"/>
        <v>共青团员</v>
      </c>
      <c r="H153" s="5" t="str">
        <f>"广西民族师范学院美术教育"</f>
        <v>广西民族师范学院美术教育</v>
      </c>
      <c r="I153" s="5" t="str">
        <f>"美术教育"</f>
        <v>美术教育</v>
      </c>
      <c r="J153" s="5" t="str">
        <f>"专科无学位"</f>
        <v>专科无学位</v>
      </c>
      <c r="K153" s="5" t="str">
        <f>"2014.06.01"</f>
        <v>2014.06.01</v>
      </c>
      <c r="L153" s="5" t="str">
        <f t="shared" si="85"/>
        <v>小学</v>
      </c>
      <c r="M153" s="5" t="str">
        <f t="shared" si="128"/>
        <v>108:美术</v>
      </c>
      <c r="N153" s="8">
        <v>20</v>
      </c>
      <c r="O153" s="8">
        <v>45.57</v>
      </c>
      <c r="P153" s="9">
        <f t="shared" si="129"/>
        <v>65.569999999999993</v>
      </c>
      <c r="Q153" s="8">
        <v>10</v>
      </c>
    </row>
    <row r="154" spans="1:17" ht="21.95" customHeight="1">
      <c r="A154" s="5">
        <v>152</v>
      </c>
      <c r="B154" s="5" t="str">
        <f>"封静文"</f>
        <v>封静文</v>
      </c>
      <c r="C154" s="5" t="str">
        <f t="shared" ref="C154:C164" si="138">"女        "</f>
        <v xml:space="preserve">女        </v>
      </c>
      <c r="D154" s="5" t="str">
        <f t="shared" si="136"/>
        <v>汉族</v>
      </c>
      <c r="E154" s="5" t="str">
        <f t="shared" ref="E154:E158" si="139">"容县"</f>
        <v>容县</v>
      </c>
      <c r="F154" s="5" t="str">
        <f>"1992年03月"</f>
        <v>1992年03月</v>
      </c>
      <c r="G154" s="5" t="str">
        <f t="shared" si="137"/>
        <v>共青团员</v>
      </c>
      <c r="H154" s="5" t="str">
        <f>"广西幼儿师范高等专科学校美术教育"</f>
        <v>广西幼儿师范高等专科学校美术教育</v>
      </c>
      <c r="I154" s="5" t="str">
        <f>"美术教育"</f>
        <v>美术教育</v>
      </c>
      <c r="J154" s="5" t="str">
        <f>"专科无学位"</f>
        <v>专科无学位</v>
      </c>
      <c r="K154" s="5" t="str">
        <f>"2014.06.01"</f>
        <v>2014.06.01</v>
      </c>
      <c r="L154" s="5" t="str">
        <f t="shared" si="85"/>
        <v>小学</v>
      </c>
      <c r="M154" s="5" t="str">
        <f t="shared" si="128"/>
        <v>108:美术</v>
      </c>
      <c r="N154" s="8">
        <v>23</v>
      </c>
      <c r="O154" s="8">
        <v>41.97</v>
      </c>
      <c r="P154" s="9">
        <f t="shared" si="129"/>
        <v>64.97</v>
      </c>
      <c r="Q154" s="8">
        <v>11</v>
      </c>
    </row>
    <row r="155" spans="1:17" s="10" customFormat="1" ht="21.95" customHeight="1">
      <c r="A155" s="5">
        <v>153</v>
      </c>
      <c r="B155" s="5" t="str">
        <f>"覃海燊"</f>
        <v>覃海燊</v>
      </c>
      <c r="C155" s="5" t="str">
        <f t="shared" si="138"/>
        <v xml:space="preserve">女        </v>
      </c>
      <c r="D155" s="5" t="str">
        <f t="shared" si="136"/>
        <v>汉族</v>
      </c>
      <c r="E155" s="5" t="str">
        <f t="shared" si="139"/>
        <v>容县</v>
      </c>
      <c r="F155" s="5" t="str">
        <f>"1994年01月"</f>
        <v>1994年01月</v>
      </c>
      <c r="G155" s="5" t="str">
        <f t="shared" si="137"/>
        <v>共青团员</v>
      </c>
      <c r="H155" s="5" t="str">
        <f>"阜阳师范学院视觉传达设计"</f>
        <v>阜阳师范学院视觉传达设计</v>
      </c>
      <c r="I155" s="5" t="str">
        <f>"视觉传达设计"</f>
        <v>视觉传达设计</v>
      </c>
      <c r="J155" s="5" t="str">
        <f t="shared" ref="J155:J159" si="140">"本科学士"</f>
        <v>本科学士</v>
      </c>
      <c r="K155" s="5" t="str">
        <f>"2017.07.01"</f>
        <v>2017.07.01</v>
      </c>
      <c r="L155" s="5" t="str">
        <f t="shared" si="85"/>
        <v>小学</v>
      </c>
      <c r="M155" s="5" t="str">
        <f t="shared" si="128"/>
        <v>108:美术</v>
      </c>
      <c r="N155" s="8">
        <v>22</v>
      </c>
      <c r="O155" s="8">
        <v>42.93</v>
      </c>
      <c r="P155" s="9">
        <f t="shared" si="129"/>
        <v>64.930000000000007</v>
      </c>
      <c r="Q155" s="8">
        <v>12</v>
      </c>
    </row>
    <row r="156" spans="1:17" ht="21.95" customHeight="1">
      <c r="A156" s="5">
        <v>154</v>
      </c>
      <c r="B156" s="5" t="str">
        <f>"李锦海"</f>
        <v>李锦海</v>
      </c>
      <c r="C156" s="5" t="str">
        <f>"男        "</f>
        <v xml:space="preserve">男        </v>
      </c>
      <c r="D156" s="5" t="str">
        <f t="shared" si="136"/>
        <v>汉族</v>
      </c>
      <c r="E156" s="5" t="str">
        <f t="shared" si="139"/>
        <v>容县</v>
      </c>
      <c r="F156" s="5" t="str">
        <f>"1994年04月"</f>
        <v>1994年04月</v>
      </c>
      <c r="G156" s="5" t="str">
        <f t="shared" si="137"/>
        <v>共青团员</v>
      </c>
      <c r="H156" s="5" t="str">
        <f>"广西师范大学环境设计室内设计"</f>
        <v>广西师范大学环境设计室内设计</v>
      </c>
      <c r="I156" s="5" t="str">
        <f>"环境设计室内设计"</f>
        <v>环境设计室内设计</v>
      </c>
      <c r="J156" s="5" t="str">
        <f t="shared" si="140"/>
        <v>本科学士</v>
      </c>
      <c r="K156" s="5" t="str">
        <f t="shared" ref="K156:K160" si="141">"2017.06.01"</f>
        <v>2017.06.01</v>
      </c>
      <c r="L156" s="5" t="str">
        <f t="shared" si="85"/>
        <v>小学</v>
      </c>
      <c r="M156" s="5" t="str">
        <f t="shared" si="128"/>
        <v>108:美术</v>
      </c>
      <c r="N156" s="8">
        <v>21</v>
      </c>
      <c r="O156" s="8">
        <v>43.9</v>
      </c>
      <c r="P156" s="9">
        <f t="shared" si="129"/>
        <v>64.900000000000006</v>
      </c>
      <c r="Q156" s="8">
        <v>13</v>
      </c>
    </row>
    <row r="157" spans="1:17" ht="21.95" customHeight="1">
      <c r="A157" s="5">
        <v>155</v>
      </c>
      <c r="B157" s="5" t="str">
        <f>"李镇炎"</f>
        <v>李镇炎</v>
      </c>
      <c r="C157" s="5" t="str">
        <f t="shared" si="138"/>
        <v xml:space="preserve">女        </v>
      </c>
      <c r="D157" s="5" t="str">
        <f t="shared" si="136"/>
        <v>汉族</v>
      </c>
      <c r="E157" s="5" t="str">
        <f t="shared" si="139"/>
        <v>容县</v>
      </c>
      <c r="F157" s="5" t="str">
        <f>"1993年11月"</f>
        <v>1993年11月</v>
      </c>
      <c r="G157" s="5" t="str">
        <f t="shared" si="137"/>
        <v>共青团员</v>
      </c>
      <c r="H157" s="5" t="str">
        <f>"广西师范大学动画"</f>
        <v>广西师范大学动画</v>
      </c>
      <c r="I157" s="5" t="str">
        <f>"动画"</f>
        <v>动画</v>
      </c>
      <c r="J157" s="5" t="str">
        <f t="shared" si="140"/>
        <v>本科学士</v>
      </c>
      <c r="K157" s="5" t="str">
        <f t="shared" si="141"/>
        <v>2017.06.01</v>
      </c>
      <c r="L157" s="5" t="str">
        <f t="shared" si="85"/>
        <v>小学</v>
      </c>
      <c r="M157" s="5" t="str">
        <f t="shared" si="128"/>
        <v>108:美术</v>
      </c>
      <c r="N157" s="8">
        <v>22</v>
      </c>
      <c r="O157" s="8">
        <v>42.87</v>
      </c>
      <c r="P157" s="9">
        <f t="shared" si="129"/>
        <v>64.87</v>
      </c>
      <c r="Q157" s="8">
        <v>14</v>
      </c>
    </row>
    <row r="158" spans="1:17" s="10" customFormat="1" ht="21.95" customHeight="1">
      <c r="A158" s="5">
        <v>156</v>
      </c>
      <c r="B158" s="5" t="str">
        <f>"梁华林"</f>
        <v>梁华林</v>
      </c>
      <c r="C158" s="5" t="str">
        <f t="shared" si="138"/>
        <v xml:space="preserve">女        </v>
      </c>
      <c r="D158" s="5" t="str">
        <f t="shared" si="136"/>
        <v>汉族</v>
      </c>
      <c r="E158" s="5" t="str">
        <f t="shared" si="139"/>
        <v>容县</v>
      </c>
      <c r="F158" s="5" t="str">
        <f>"1993年02月"</f>
        <v>1993年02月</v>
      </c>
      <c r="G158" s="5" t="str">
        <f t="shared" si="137"/>
        <v>共青团员</v>
      </c>
      <c r="H158" s="5" t="str">
        <f>"广西师范大学环境设计"</f>
        <v>广西师范大学环境设计</v>
      </c>
      <c r="I158" s="5" t="str">
        <f>"环境设计"</f>
        <v>环境设计</v>
      </c>
      <c r="J158" s="5" t="str">
        <f t="shared" si="140"/>
        <v>本科学士</v>
      </c>
      <c r="K158" s="5" t="str">
        <f>"2017.07.01"</f>
        <v>2017.07.01</v>
      </c>
      <c r="L158" s="5" t="str">
        <f t="shared" si="85"/>
        <v>小学</v>
      </c>
      <c r="M158" s="5" t="str">
        <f t="shared" si="128"/>
        <v>108:美术</v>
      </c>
      <c r="N158" s="8">
        <v>22</v>
      </c>
      <c r="O158" s="8">
        <v>41.43</v>
      </c>
      <c r="P158" s="9">
        <f t="shared" si="129"/>
        <v>63.43</v>
      </c>
      <c r="Q158" s="8">
        <v>15</v>
      </c>
    </row>
    <row r="159" spans="1:17" ht="21.95" customHeight="1">
      <c r="A159" s="5">
        <v>157</v>
      </c>
      <c r="B159" s="5" t="str">
        <f>"黎桦"</f>
        <v>黎桦</v>
      </c>
      <c r="C159" s="5" t="str">
        <f t="shared" si="138"/>
        <v xml:space="preserve">女        </v>
      </c>
      <c r="D159" s="5" t="str">
        <f>"瑶族"</f>
        <v>瑶族</v>
      </c>
      <c r="E159" s="5" t="str">
        <f>"上思县"</f>
        <v>上思县</v>
      </c>
      <c r="F159" s="5" t="str">
        <f>"1993年12月"</f>
        <v>1993年12月</v>
      </c>
      <c r="G159" s="5" t="str">
        <f t="shared" si="137"/>
        <v>共青团员</v>
      </c>
      <c r="H159" s="5" t="str">
        <f>"广西师范大学漓江学院艺术设计"</f>
        <v>广西师范大学漓江学院艺术设计</v>
      </c>
      <c r="I159" s="5" t="str">
        <f>"艺术设计"</f>
        <v>艺术设计</v>
      </c>
      <c r="J159" s="5" t="str">
        <f t="shared" si="140"/>
        <v>本科学士</v>
      </c>
      <c r="K159" s="5" t="str">
        <f t="shared" ref="K159:K162" si="142">"2014.06.01"</f>
        <v>2014.06.01</v>
      </c>
      <c r="L159" s="5" t="str">
        <f t="shared" si="85"/>
        <v>小学</v>
      </c>
      <c r="M159" s="5" t="str">
        <f t="shared" si="128"/>
        <v>108:美术</v>
      </c>
      <c r="N159" s="8">
        <v>16</v>
      </c>
      <c r="O159" s="8">
        <v>46.8</v>
      </c>
      <c r="P159" s="9">
        <f t="shared" si="129"/>
        <v>62.8</v>
      </c>
      <c r="Q159" s="8">
        <v>16</v>
      </c>
    </row>
    <row r="160" spans="1:17" ht="21.95" customHeight="1">
      <c r="A160" s="5">
        <v>158</v>
      </c>
      <c r="B160" s="5" t="str">
        <f>"潘深华"</f>
        <v>潘深华</v>
      </c>
      <c r="C160" s="5" t="str">
        <f t="shared" si="138"/>
        <v xml:space="preserve">女        </v>
      </c>
      <c r="D160" s="5" t="str">
        <f t="shared" ref="D160:D169" si="143">"汉族"</f>
        <v>汉族</v>
      </c>
      <c r="E160" s="5" t="str">
        <f t="shared" ref="E160:E163" si="144">"容县"</f>
        <v>容县</v>
      </c>
      <c r="F160" s="5" t="str">
        <f>"1995年01月"</f>
        <v>1995年01月</v>
      </c>
      <c r="G160" s="5" t="str">
        <f t="shared" si="137"/>
        <v>共青团员</v>
      </c>
      <c r="H160" s="5" t="str">
        <f>"广西桂林师范高等专科学校美术教育"</f>
        <v>广西桂林师范高等专科学校美术教育</v>
      </c>
      <c r="I160" s="5" t="str">
        <f>"美术教育"</f>
        <v>美术教育</v>
      </c>
      <c r="J160" s="5" t="str">
        <f t="shared" ref="J160:J163" si="145">"专科无学位"</f>
        <v>专科无学位</v>
      </c>
      <c r="K160" s="5" t="str">
        <f t="shared" si="141"/>
        <v>2017.06.01</v>
      </c>
      <c r="L160" s="5" t="str">
        <f t="shared" si="85"/>
        <v>小学</v>
      </c>
      <c r="M160" s="5" t="str">
        <f t="shared" si="128"/>
        <v>108:美术</v>
      </c>
      <c r="N160" s="8">
        <v>19</v>
      </c>
      <c r="O160" s="8">
        <v>41.17</v>
      </c>
      <c r="P160" s="9">
        <f t="shared" si="129"/>
        <v>60.17</v>
      </c>
      <c r="Q160" s="8">
        <v>17</v>
      </c>
    </row>
    <row r="161" spans="1:17" ht="21.95" customHeight="1">
      <c r="A161" s="5">
        <v>159</v>
      </c>
      <c r="B161" s="5" t="str">
        <f>"梁璐璐"</f>
        <v>梁璐璐</v>
      </c>
      <c r="C161" s="5" t="str">
        <f t="shared" si="138"/>
        <v xml:space="preserve">女        </v>
      </c>
      <c r="D161" s="5" t="str">
        <f t="shared" si="143"/>
        <v>汉族</v>
      </c>
      <c r="E161" s="5" t="str">
        <f>"北流"</f>
        <v>北流</v>
      </c>
      <c r="F161" s="5" t="str">
        <f>"1990年08月"</f>
        <v>1990年08月</v>
      </c>
      <c r="G161" s="5" t="str">
        <f t="shared" si="137"/>
        <v>共青团员</v>
      </c>
      <c r="H161" s="5" t="str">
        <f>"桂林市高等专科学校美术教育"</f>
        <v>桂林市高等专科学校美术教育</v>
      </c>
      <c r="I161" s="5" t="str">
        <f>"美术教育"</f>
        <v>美术教育</v>
      </c>
      <c r="J161" s="5" t="str">
        <f t="shared" si="145"/>
        <v>专科无学位</v>
      </c>
      <c r="K161" s="5" t="str">
        <f t="shared" si="142"/>
        <v>2014.06.01</v>
      </c>
      <c r="L161" s="5" t="str">
        <f t="shared" si="85"/>
        <v>小学</v>
      </c>
      <c r="M161" s="5" t="str">
        <f t="shared" si="128"/>
        <v>108:美术</v>
      </c>
      <c r="N161" s="8">
        <v>19</v>
      </c>
      <c r="O161" s="8">
        <v>40.369999999999997</v>
      </c>
      <c r="P161" s="9">
        <f t="shared" si="129"/>
        <v>59.37</v>
      </c>
      <c r="Q161" s="8">
        <v>18</v>
      </c>
    </row>
    <row r="162" spans="1:17" ht="30" customHeight="1">
      <c r="A162" s="5">
        <v>160</v>
      </c>
      <c r="B162" s="5" t="str">
        <f>"莫津铭"</f>
        <v>莫津铭</v>
      </c>
      <c r="C162" s="5" t="str">
        <f t="shared" si="138"/>
        <v xml:space="preserve">女        </v>
      </c>
      <c r="D162" s="5" t="str">
        <f t="shared" si="143"/>
        <v>汉族</v>
      </c>
      <c r="E162" s="5" t="str">
        <f t="shared" si="144"/>
        <v>容县</v>
      </c>
      <c r="F162" s="5" t="str">
        <f>"1992年03月"</f>
        <v>1992年03月</v>
      </c>
      <c r="G162" s="5" t="str">
        <f t="shared" si="137"/>
        <v>共青团员</v>
      </c>
      <c r="H162" s="5" t="str">
        <f>"广西教育学院现代教育技术"</f>
        <v>广西教育学院现代教育技术</v>
      </c>
      <c r="I162" s="5" t="str">
        <f t="shared" ref="I162:I167" si="146">"现代教育技术"</f>
        <v>现代教育技术</v>
      </c>
      <c r="J162" s="5" t="str">
        <f t="shared" si="145"/>
        <v>专科无学位</v>
      </c>
      <c r="K162" s="5" t="str">
        <f t="shared" si="142"/>
        <v>2014.06.01</v>
      </c>
      <c r="L162" s="5" t="str">
        <f t="shared" si="85"/>
        <v>小学</v>
      </c>
      <c r="M162" s="5" t="str">
        <f t="shared" ref="M162:M169" si="147">"110:信息技术"</f>
        <v>110:信息技术</v>
      </c>
      <c r="N162" s="8">
        <v>22</v>
      </c>
      <c r="O162" s="8">
        <v>52.77</v>
      </c>
      <c r="P162" s="9">
        <f t="shared" ref="P162:P169" si="148">O162+N162</f>
        <v>74.77000000000001</v>
      </c>
      <c r="Q162" s="8">
        <v>1</v>
      </c>
    </row>
    <row r="163" spans="1:17" ht="30" customHeight="1">
      <c r="A163" s="5">
        <v>161</v>
      </c>
      <c r="B163" s="5" t="str">
        <f>"刘银燕"</f>
        <v>刘银燕</v>
      </c>
      <c r="C163" s="5" t="str">
        <f t="shared" si="138"/>
        <v xml:space="preserve">女        </v>
      </c>
      <c r="D163" s="5" t="str">
        <f t="shared" si="143"/>
        <v>汉族</v>
      </c>
      <c r="E163" s="5" t="str">
        <f t="shared" si="144"/>
        <v>容县</v>
      </c>
      <c r="F163" s="5" t="str">
        <f>"1994年10月"</f>
        <v>1994年10月</v>
      </c>
      <c r="G163" s="5" t="str">
        <f t="shared" si="137"/>
        <v>共青团员</v>
      </c>
      <c r="H163" s="5" t="str">
        <f>"桂林师范高等专科学校现代教育技术"</f>
        <v>桂林师范高等专科学校现代教育技术</v>
      </c>
      <c r="I163" s="5" t="str">
        <f t="shared" si="146"/>
        <v>现代教育技术</v>
      </c>
      <c r="J163" s="5" t="str">
        <f t="shared" si="145"/>
        <v>专科无学位</v>
      </c>
      <c r="K163" s="5" t="str">
        <f t="shared" ref="K163:K168" si="149">"2017.06.01"</f>
        <v>2017.06.01</v>
      </c>
      <c r="L163" s="5" t="str">
        <f t="shared" si="85"/>
        <v>小学</v>
      </c>
      <c r="M163" s="5" t="str">
        <f t="shared" si="147"/>
        <v>110:信息技术</v>
      </c>
      <c r="N163" s="8">
        <v>27.5</v>
      </c>
      <c r="O163" s="8">
        <v>46.67</v>
      </c>
      <c r="P163" s="9">
        <f t="shared" si="148"/>
        <v>74.17</v>
      </c>
      <c r="Q163" s="8">
        <v>2</v>
      </c>
    </row>
    <row r="164" spans="1:17" ht="30" customHeight="1">
      <c r="A164" s="5">
        <v>162</v>
      </c>
      <c r="B164" s="5" t="str">
        <f>"陈燕玲"</f>
        <v>陈燕玲</v>
      </c>
      <c r="C164" s="5" t="str">
        <f t="shared" si="138"/>
        <v xml:space="preserve">女        </v>
      </c>
      <c r="D164" s="5" t="str">
        <f t="shared" si="143"/>
        <v>汉族</v>
      </c>
      <c r="E164" s="5" t="str">
        <f>"岑溪市"</f>
        <v>岑溪市</v>
      </c>
      <c r="F164" s="5" t="str">
        <f>"1994年11月"</f>
        <v>1994年11月</v>
      </c>
      <c r="G164" s="5" t="str">
        <f t="shared" si="137"/>
        <v>共青团员</v>
      </c>
      <c r="H164" s="5" t="str">
        <f>"广西师范大学计算机科学与技术"</f>
        <v>广西师范大学计算机科学与技术</v>
      </c>
      <c r="I164" s="5" t="str">
        <f>"计算机科学与技术"</f>
        <v>计算机科学与技术</v>
      </c>
      <c r="J164" s="5" t="str">
        <f t="shared" ref="J164:J166" si="150">"本科学士"</f>
        <v>本科学士</v>
      </c>
      <c r="K164" s="5" t="str">
        <f t="shared" si="149"/>
        <v>2017.06.01</v>
      </c>
      <c r="L164" s="5" t="str">
        <f t="shared" ref="L164:L169" si="151">"小学"</f>
        <v>小学</v>
      </c>
      <c r="M164" s="5" t="str">
        <f t="shared" si="147"/>
        <v>110:信息技术</v>
      </c>
      <c r="N164" s="8">
        <v>27.5</v>
      </c>
      <c r="O164" s="8">
        <v>45.67</v>
      </c>
      <c r="P164" s="9">
        <f t="shared" si="148"/>
        <v>73.17</v>
      </c>
      <c r="Q164" s="8">
        <v>3</v>
      </c>
    </row>
    <row r="165" spans="1:17" s="10" customFormat="1" ht="30" customHeight="1">
      <c r="A165" s="5">
        <v>163</v>
      </c>
      <c r="B165" s="5" t="str">
        <f>"封祖源"</f>
        <v>封祖源</v>
      </c>
      <c r="C165" s="5" t="str">
        <f>"男        "</f>
        <v xml:space="preserve">男        </v>
      </c>
      <c r="D165" s="5" t="str">
        <f t="shared" si="143"/>
        <v>汉族</v>
      </c>
      <c r="E165" s="5" t="str">
        <f t="shared" ref="E165:E167" si="152">"容县"</f>
        <v>容县</v>
      </c>
      <c r="F165" s="5" t="str">
        <f>"1994年03月"</f>
        <v>1994年03月</v>
      </c>
      <c r="G165" s="5" t="str">
        <f t="shared" si="137"/>
        <v>共青团员</v>
      </c>
      <c r="H165" s="5" t="str">
        <f>"广西科技大学鹿山学院自动化"</f>
        <v>广西科技大学鹿山学院自动化</v>
      </c>
      <c r="I165" s="5" t="str">
        <f>"自动化"</f>
        <v>自动化</v>
      </c>
      <c r="J165" s="5" t="str">
        <f t="shared" si="150"/>
        <v>本科学士</v>
      </c>
      <c r="K165" s="5" t="str">
        <f>"2017.07.01"</f>
        <v>2017.07.01</v>
      </c>
      <c r="L165" s="5" t="str">
        <f t="shared" si="151"/>
        <v>小学</v>
      </c>
      <c r="M165" s="5" t="str">
        <f t="shared" si="147"/>
        <v>110:信息技术</v>
      </c>
      <c r="N165" s="8">
        <v>22</v>
      </c>
      <c r="O165" s="8">
        <v>50.27</v>
      </c>
      <c r="P165" s="9">
        <f t="shared" si="148"/>
        <v>72.27000000000001</v>
      </c>
      <c r="Q165" s="8">
        <v>4</v>
      </c>
    </row>
    <row r="166" spans="1:17" ht="30" customHeight="1">
      <c r="A166" s="5">
        <v>164</v>
      </c>
      <c r="B166" s="5" t="str">
        <f>"陆业坚"</f>
        <v>陆业坚</v>
      </c>
      <c r="C166" s="5" t="str">
        <f>"男        "</f>
        <v xml:space="preserve">男        </v>
      </c>
      <c r="D166" s="5" t="str">
        <f t="shared" si="143"/>
        <v>汉族</v>
      </c>
      <c r="E166" s="5" t="str">
        <f t="shared" si="152"/>
        <v>容县</v>
      </c>
      <c r="F166" s="5" t="str">
        <f>"1993年11月"</f>
        <v>1993年11月</v>
      </c>
      <c r="G166" s="5" t="str">
        <f t="shared" si="137"/>
        <v>共青团员</v>
      </c>
      <c r="H166" s="5" t="str">
        <f>"广西师范学院师园学院计算机科学与技术"</f>
        <v>广西师范学院师园学院计算机科学与技术</v>
      </c>
      <c r="I166" s="5" t="str">
        <f>"计算机科学与技术"</f>
        <v>计算机科学与技术</v>
      </c>
      <c r="J166" s="5" t="str">
        <f t="shared" si="150"/>
        <v>本科学士</v>
      </c>
      <c r="K166" s="5" t="str">
        <f>"2016.06.01"</f>
        <v>2016.06.01</v>
      </c>
      <c r="L166" s="5" t="str">
        <f t="shared" si="151"/>
        <v>小学</v>
      </c>
      <c r="M166" s="5" t="str">
        <f t="shared" si="147"/>
        <v>110:信息技术</v>
      </c>
      <c r="N166" s="8">
        <v>18</v>
      </c>
      <c r="O166" s="8">
        <v>50</v>
      </c>
      <c r="P166" s="9">
        <f t="shared" si="148"/>
        <v>68</v>
      </c>
      <c r="Q166" s="8">
        <v>5</v>
      </c>
    </row>
    <row r="167" spans="1:17" ht="30" customHeight="1">
      <c r="A167" s="5">
        <v>165</v>
      </c>
      <c r="B167" s="5" t="str">
        <f>"庞丽红"</f>
        <v>庞丽红</v>
      </c>
      <c r="C167" s="5" t="str">
        <f t="shared" ref="C167:C169" si="153">"女        "</f>
        <v xml:space="preserve">女        </v>
      </c>
      <c r="D167" s="5" t="str">
        <f t="shared" si="143"/>
        <v>汉族</v>
      </c>
      <c r="E167" s="5" t="str">
        <f t="shared" si="152"/>
        <v>容县</v>
      </c>
      <c r="F167" s="5" t="str">
        <f>"1995年02月"</f>
        <v>1995年02月</v>
      </c>
      <c r="G167" s="5" t="str">
        <f t="shared" si="137"/>
        <v>共青团员</v>
      </c>
      <c r="H167" s="5" t="str">
        <f>"桂林师范高等专科学校现代教育技术"</f>
        <v>桂林师范高等专科学校现代教育技术</v>
      </c>
      <c r="I167" s="5" t="str">
        <f t="shared" si="146"/>
        <v>现代教育技术</v>
      </c>
      <c r="J167" s="5" t="str">
        <f>"专科无学位"</f>
        <v>专科无学位</v>
      </c>
      <c r="K167" s="5" t="str">
        <f t="shared" si="149"/>
        <v>2017.06.01</v>
      </c>
      <c r="L167" s="5" t="str">
        <f t="shared" si="151"/>
        <v>小学</v>
      </c>
      <c r="M167" s="5" t="str">
        <f t="shared" si="147"/>
        <v>110:信息技术</v>
      </c>
      <c r="N167" s="8">
        <v>23.5</v>
      </c>
      <c r="O167" s="8">
        <v>43.67</v>
      </c>
      <c r="P167" s="9">
        <f t="shared" si="148"/>
        <v>67.17</v>
      </c>
      <c r="Q167" s="8">
        <v>6</v>
      </c>
    </row>
    <row r="168" spans="1:17" s="10" customFormat="1" ht="30" customHeight="1">
      <c r="A168" s="5">
        <v>166</v>
      </c>
      <c r="B168" s="5" t="str">
        <f>"梁妹婷"</f>
        <v>梁妹婷</v>
      </c>
      <c r="C168" s="5" t="str">
        <f t="shared" si="153"/>
        <v xml:space="preserve">女        </v>
      </c>
      <c r="D168" s="5" t="str">
        <f t="shared" si="143"/>
        <v>汉族</v>
      </c>
      <c r="E168" s="5" t="str">
        <f>"玉林"</f>
        <v>玉林</v>
      </c>
      <c r="F168" s="5" t="str">
        <f>"1992年10月"</f>
        <v>1992年10月</v>
      </c>
      <c r="G168" s="5" t="str">
        <f t="shared" si="137"/>
        <v>共青团员</v>
      </c>
      <c r="H168" s="5" t="str">
        <f>"梧州学院物联网工程"</f>
        <v>梧州学院物联网工程</v>
      </c>
      <c r="I168" s="5" t="str">
        <f>"物联网工程"</f>
        <v>物联网工程</v>
      </c>
      <c r="J168" s="5" t="str">
        <f>"本科学士"</f>
        <v>本科学士</v>
      </c>
      <c r="K168" s="5" t="str">
        <f t="shared" si="149"/>
        <v>2017.06.01</v>
      </c>
      <c r="L168" s="5" t="str">
        <f t="shared" si="151"/>
        <v>小学</v>
      </c>
      <c r="M168" s="5" t="str">
        <f t="shared" si="147"/>
        <v>110:信息技术</v>
      </c>
      <c r="N168" s="8">
        <v>20</v>
      </c>
      <c r="O168" s="8">
        <v>46.33</v>
      </c>
      <c r="P168" s="9">
        <f t="shared" si="148"/>
        <v>66.33</v>
      </c>
      <c r="Q168" s="8">
        <v>7</v>
      </c>
    </row>
    <row r="169" spans="1:17" ht="30" customHeight="1">
      <c r="A169" s="5">
        <v>167</v>
      </c>
      <c r="B169" s="5" t="str">
        <f>"李龄"</f>
        <v>李龄</v>
      </c>
      <c r="C169" s="5" t="str">
        <f t="shared" si="153"/>
        <v xml:space="preserve">女        </v>
      </c>
      <c r="D169" s="5" t="str">
        <f t="shared" si="143"/>
        <v>汉族</v>
      </c>
      <c r="E169" s="5" t="str">
        <f>"玉林"</f>
        <v>玉林</v>
      </c>
      <c r="F169" s="5" t="str">
        <f>"1988年06月"</f>
        <v>1988年06月</v>
      </c>
      <c r="G169" s="5" t="str">
        <f>"群众"</f>
        <v>群众</v>
      </c>
      <c r="H169" s="5" t="str">
        <f>"桂林电子科技大学电子信息工程"</f>
        <v>桂林电子科技大学电子信息工程</v>
      </c>
      <c r="I169" s="5" t="str">
        <f>"电子信息工程"</f>
        <v>电子信息工程</v>
      </c>
      <c r="J169" s="5" t="str">
        <f>"本科学士"</f>
        <v>本科学士</v>
      </c>
      <c r="K169" s="5" t="str">
        <f>"2014.06.01"</f>
        <v>2014.06.01</v>
      </c>
      <c r="L169" s="5" t="str">
        <f t="shared" si="151"/>
        <v>小学</v>
      </c>
      <c r="M169" s="5" t="str">
        <f t="shared" si="147"/>
        <v>110:信息技术</v>
      </c>
      <c r="N169" s="8">
        <v>19</v>
      </c>
      <c r="O169" s="8">
        <v>41.67</v>
      </c>
      <c r="P169" s="9">
        <f t="shared" si="148"/>
        <v>60.67</v>
      </c>
      <c r="Q169" s="8">
        <v>8</v>
      </c>
    </row>
  </sheetData>
  <sortState ref="A3:R116">
    <sortCondition descending="1" ref="P3:P116"/>
  </sortState>
  <mergeCells count="1">
    <mergeCell ref="A1:Q1"/>
  </mergeCells>
  <phoneticPr fontId="6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8"/>
  <sheetViews>
    <sheetView workbookViewId="0">
      <selection activeCell="A6" sqref="A6"/>
    </sheetView>
  </sheetViews>
  <sheetFormatPr defaultColWidth="9" defaultRowHeight="13.5"/>
  <cols>
    <col min="1" max="1" width="4" style="2" customWidth="1"/>
    <col min="2" max="2" width="7.25" style="2" customWidth="1"/>
    <col min="3" max="3" width="3.25" style="2" customWidth="1"/>
    <col min="4" max="4" width="4.5" style="2" customWidth="1"/>
    <col min="5" max="5" width="4.875" style="2" customWidth="1"/>
    <col min="6" max="6" width="10.5" style="2" customWidth="1"/>
    <col min="7" max="7" width="5.375" style="2" customWidth="1"/>
    <col min="8" max="8" width="15.5" style="2" customWidth="1"/>
    <col min="9" max="9" width="8" style="2" customWidth="1"/>
    <col min="10" max="10" width="6.25" style="2" customWidth="1"/>
    <col min="11" max="11" width="9.875" style="2" customWidth="1"/>
    <col min="12" max="12" width="5.25" style="2" customWidth="1"/>
    <col min="13" max="13" width="8.5" style="2" customWidth="1"/>
    <col min="14" max="14" width="6.75" style="3" customWidth="1"/>
    <col min="15" max="15" width="8" customWidth="1"/>
    <col min="16" max="16" width="7.125" customWidth="1"/>
    <col min="17" max="17" width="5.875" customWidth="1"/>
  </cols>
  <sheetData>
    <row r="1" spans="1:17" ht="34.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27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  <c r="P2" s="7" t="s">
        <v>15</v>
      </c>
      <c r="Q2" s="7" t="s">
        <v>16</v>
      </c>
    </row>
    <row r="3" spans="1:17" s="10" customFormat="1" ht="30" customHeight="1">
      <c r="A3" s="5">
        <v>1</v>
      </c>
      <c r="B3" s="5" t="str">
        <f>"彭海洁"</f>
        <v>彭海洁</v>
      </c>
      <c r="C3" s="5" t="str">
        <f t="shared" ref="C3:C8" si="0">"女        "</f>
        <v xml:space="preserve">女        </v>
      </c>
      <c r="D3" s="5" t="str">
        <f t="shared" ref="D3:D8" si="1">"汉族"</f>
        <v>汉族</v>
      </c>
      <c r="E3" s="5" t="str">
        <f t="shared" ref="E3:E7" si="2">"容县"</f>
        <v>容县</v>
      </c>
      <c r="F3" s="5" t="str">
        <f>"1990年06月"</f>
        <v>1990年06月</v>
      </c>
      <c r="G3" s="5" t="str">
        <f t="shared" ref="G3:G8" si="3">"共青团员"</f>
        <v>共青团员</v>
      </c>
      <c r="H3" s="5" t="str">
        <f>"广西教育学院心理咨询与心理健康教育"</f>
        <v>广西教育学院心理咨询与心理健康教育</v>
      </c>
      <c r="I3" s="5" t="str">
        <f>"心理咨询与心理健康教育"</f>
        <v>心理咨询与心理健康教育</v>
      </c>
      <c r="J3" s="5" t="str">
        <f t="shared" ref="J3:J8" si="4">"专科无学位"</f>
        <v>专科无学位</v>
      </c>
      <c r="K3" s="5" t="str">
        <f>"2013.06.01"</f>
        <v>2013.06.01</v>
      </c>
      <c r="L3" s="5" t="str">
        <f t="shared" ref="L3:L8" si="5">"小学"</f>
        <v>小学</v>
      </c>
      <c r="M3" s="5" t="str">
        <f t="shared" ref="M3:M8" si="6">"113:特殊教育"</f>
        <v>113:特殊教育</v>
      </c>
      <c r="N3" s="8">
        <v>22</v>
      </c>
      <c r="O3" s="8">
        <v>49.33</v>
      </c>
      <c r="P3" s="8">
        <f t="shared" ref="P3:P8" si="7">N3+O3</f>
        <v>71.33</v>
      </c>
      <c r="Q3" s="9">
        <v>1</v>
      </c>
    </row>
    <row r="4" spans="1:17" ht="30" customHeight="1">
      <c r="A4" s="5">
        <v>2</v>
      </c>
      <c r="B4" s="5" t="str">
        <f>"陈玉霞"</f>
        <v>陈玉霞</v>
      </c>
      <c r="C4" s="5" t="str">
        <f t="shared" si="0"/>
        <v xml:space="preserve">女        </v>
      </c>
      <c r="D4" s="5" t="str">
        <f t="shared" si="1"/>
        <v>汉族</v>
      </c>
      <c r="E4" s="5" t="s">
        <v>20</v>
      </c>
      <c r="F4" s="5" t="str">
        <f>"1994年08月"</f>
        <v>1994年08月</v>
      </c>
      <c r="G4" s="5" t="str">
        <f t="shared" si="3"/>
        <v>共青团员</v>
      </c>
      <c r="H4" s="5" t="str">
        <f>"南京特殊教育师范学院特殊教育"</f>
        <v>南京特殊教育师范学院特殊教育</v>
      </c>
      <c r="I4" s="5" t="str">
        <f>"特殊教育"</f>
        <v>特殊教育</v>
      </c>
      <c r="J4" s="5" t="str">
        <f t="shared" si="4"/>
        <v>专科无学位</v>
      </c>
      <c r="K4" s="5" t="str">
        <f t="shared" ref="K4:K8" si="8">"2017.06.01"</f>
        <v>2017.06.01</v>
      </c>
      <c r="L4" s="5" t="str">
        <f t="shared" si="5"/>
        <v>小学</v>
      </c>
      <c r="M4" s="5" t="str">
        <f t="shared" si="6"/>
        <v>113:特殊教育</v>
      </c>
      <c r="N4" s="8">
        <v>21</v>
      </c>
      <c r="O4" s="8">
        <v>50.33</v>
      </c>
      <c r="P4" s="8">
        <f t="shared" si="7"/>
        <v>71.33</v>
      </c>
      <c r="Q4" s="9">
        <v>2</v>
      </c>
    </row>
    <row r="5" spans="1:17" ht="30" customHeight="1">
      <c r="A5" s="5">
        <v>3</v>
      </c>
      <c r="B5" s="5" t="str">
        <f>"潘燕华"</f>
        <v>潘燕华</v>
      </c>
      <c r="C5" s="5" t="str">
        <f t="shared" si="0"/>
        <v xml:space="preserve">女        </v>
      </c>
      <c r="D5" s="5" t="str">
        <f>"壮族"</f>
        <v>壮族</v>
      </c>
      <c r="E5" s="5" t="str">
        <f>"岑溪市"</f>
        <v>岑溪市</v>
      </c>
      <c r="F5" s="5" t="str">
        <f>"1992年08月"</f>
        <v>1992年08月</v>
      </c>
      <c r="G5" s="5" t="str">
        <f t="shared" si="3"/>
        <v>共青团员</v>
      </c>
      <c r="H5" s="5" t="str">
        <f>"广西幼儿师范高等专科学校特殊教育"</f>
        <v>广西幼儿师范高等专科学校特殊教育</v>
      </c>
      <c r="I5" s="5" t="str">
        <f>"特殊教育"</f>
        <v>特殊教育</v>
      </c>
      <c r="J5" s="5" t="str">
        <f t="shared" si="4"/>
        <v>专科无学位</v>
      </c>
      <c r="K5" s="5" t="str">
        <f t="shared" si="8"/>
        <v>2017.06.01</v>
      </c>
      <c r="L5" s="5" t="str">
        <f t="shared" si="5"/>
        <v>小学</v>
      </c>
      <c r="M5" s="5" t="str">
        <f t="shared" si="6"/>
        <v>113:特殊教育</v>
      </c>
      <c r="N5" s="8">
        <v>24</v>
      </c>
      <c r="O5" s="8">
        <v>45.2</v>
      </c>
      <c r="P5" s="8">
        <f t="shared" si="7"/>
        <v>69.2</v>
      </c>
      <c r="Q5" s="9">
        <v>3</v>
      </c>
    </row>
    <row r="6" spans="1:17" ht="30" customHeight="1">
      <c r="A6" s="5">
        <v>4</v>
      </c>
      <c r="B6" s="5" t="str">
        <f>"陈雪妮"</f>
        <v>陈雪妮</v>
      </c>
      <c r="C6" s="5" t="str">
        <f t="shared" si="0"/>
        <v xml:space="preserve">女        </v>
      </c>
      <c r="D6" s="5" t="str">
        <f t="shared" si="1"/>
        <v>汉族</v>
      </c>
      <c r="E6" s="5" t="str">
        <f t="shared" si="2"/>
        <v>容县</v>
      </c>
      <c r="F6" s="5" t="str">
        <f>"1987年11月"</f>
        <v>1987年11月</v>
      </c>
      <c r="G6" s="5" t="str">
        <f>"中共党员"</f>
        <v>中共党员</v>
      </c>
      <c r="H6" s="5" t="str">
        <f>"玉林师范学院运动康复与健康"</f>
        <v>玉林师范学院运动康复与健康</v>
      </c>
      <c r="I6" s="5" t="str">
        <f>"运动康复与健康"</f>
        <v>运动康复与健康</v>
      </c>
      <c r="J6" s="5" t="str">
        <f>"本科学士"</f>
        <v>本科学士</v>
      </c>
      <c r="K6" s="5" t="str">
        <f>"2010.06.01"</f>
        <v>2010.06.01</v>
      </c>
      <c r="L6" s="5" t="str">
        <f t="shared" si="5"/>
        <v>小学</v>
      </c>
      <c r="M6" s="5" t="str">
        <f t="shared" si="6"/>
        <v>113:特殊教育</v>
      </c>
      <c r="N6" s="8">
        <v>27</v>
      </c>
      <c r="O6" s="8">
        <v>38.67</v>
      </c>
      <c r="P6" s="8">
        <f t="shared" si="7"/>
        <v>65.67</v>
      </c>
      <c r="Q6" s="9">
        <v>4</v>
      </c>
    </row>
    <row r="7" spans="1:17" ht="30" customHeight="1">
      <c r="A7" s="5">
        <v>5</v>
      </c>
      <c r="B7" s="5" t="str">
        <f>"陈方连"</f>
        <v>陈方连</v>
      </c>
      <c r="C7" s="5" t="str">
        <f t="shared" si="0"/>
        <v xml:space="preserve">女        </v>
      </c>
      <c r="D7" s="5" t="str">
        <f t="shared" si="1"/>
        <v>汉族</v>
      </c>
      <c r="E7" s="5" t="str">
        <f t="shared" si="2"/>
        <v>容县</v>
      </c>
      <c r="F7" s="5" t="str">
        <f>"1993年05月"</f>
        <v>1993年05月</v>
      </c>
      <c r="G7" s="5" t="str">
        <f t="shared" si="3"/>
        <v>共青团员</v>
      </c>
      <c r="H7" s="5" t="str">
        <f>"广西幼儿师范高等专科学校学前教育"</f>
        <v>广西幼儿师范高等专科学校学前教育</v>
      </c>
      <c r="I7" s="5" t="str">
        <f>"学前教育"</f>
        <v>学前教育</v>
      </c>
      <c r="J7" s="5" t="str">
        <f t="shared" si="4"/>
        <v>专科无学位</v>
      </c>
      <c r="K7" s="5" t="str">
        <f>"2014.06.01"</f>
        <v>2014.06.01</v>
      </c>
      <c r="L7" s="5" t="str">
        <f t="shared" si="5"/>
        <v>小学</v>
      </c>
      <c r="M7" s="5" t="str">
        <f t="shared" si="6"/>
        <v>113:特殊教育</v>
      </c>
      <c r="N7" s="8">
        <v>18.5</v>
      </c>
      <c r="O7" s="8">
        <v>45.93</v>
      </c>
      <c r="P7" s="8">
        <f t="shared" si="7"/>
        <v>64.430000000000007</v>
      </c>
      <c r="Q7" s="9">
        <v>5</v>
      </c>
    </row>
    <row r="8" spans="1:17" ht="30" customHeight="1">
      <c r="A8" s="5">
        <v>6</v>
      </c>
      <c r="B8" s="5" t="str">
        <f>"党玉英"</f>
        <v>党玉英</v>
      </c>
      <c r="C8" s="5" t="str">
        <f t="shared" si="0"/>
        <v xml:space="preserve">女        </v>
      </c>
      <c r="D8" s="5" t="str">
        <f t="shared" si="1"/>
        <v>汉族</v>
      </c>
      <c r="E8" s="5" t="str">
        <f>"北流"</f>
        <v>北流</v>
      </c>
      <c r="F8" s="5" t="str">
        <f>"1994年10月"</f>
        <v>1994年10月</v>
      </c>
      <c r="G8" s="5" t="str">
        <f t="shared" si="3"/>
        <v>共青团员</v>
      </c>
      <c r="H8" s="5" t="str">
        <f>"南京特殊教育师范学院特殊教育"</f>
        <v>南京特殊教育师范学院特殊教育</v>
      </c>
      <c r="I8" s="5" t="str">
        <f>"特殊教育"</f>
        <v>特殊教育</v>
      </c>
      <c r="J8" s="5" t="str">
        <f t="shared" si="4"/>
        <v>专科无学位</v>
      </c>
      <c r="K8" s="5" t="str">
        <f t="shared" si="8"/>
        <v>2017.06.01</v>
      </c>
      <c r="L8" s="5" t="str">
        <f t="shared" si="5"/>
        <v>小学</v>
      </c>
      <c r="M8" s="5" t="str">
        <f t="shared" si="6"/>
        <v>113:特殊教育</v>
      </c>
      <c r="N8" s="8">
        <v>18</v>
      </c>
      <c r="O8" s="8">
        <v>45.43</v>
      </c>
      <c r="P8" s="8">
        <f t="shared" si="7"/>
        <v>63.43</v>
      </c>
      <c r="Q8" s="9">
        <v>6</v>
      </c>
    </row>
  </sheetData>
  <sortState ref="B3:R10">
    <sortCondition descending="1" ref="P3:P10"/>
  </sortState>
  <mergeCells count="1">
    <mergeCell ref="A1:Q1"/>
  </mergeCells>
  <phoneticPr fontId="6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4"/>
  <sheetViews>
    <sheetView tabSelected="1" workbookViewId="0">
      <selection activeCell="A4" sqref="A4"/>
    </sheetView>
  </sheetViews>
  <sheetFormatPr defaultColWidth="9" defaultRowHeight="13.5"/>
  <cols>
    <col min="1" max="1" width="4" style="2" customWidth="1"/>
    <col min="2" max="2" width="6" style="2" customWidth="1"/>
    <col min="3" max="3" width="3.25" style="2" customWidth="1"/>
    <col min="4" max="4" width="4.5" style="2" customWidth="1"/>
    <col min="5" max="5" width="5.375" style="2" customWidth="1"/>
    <col min="6" max="6" width="10.5" style="2" customWidth="1"/>
    <col min="7" max="7" width="5.375" style="2" customWidth="1"/>
    <col min="8" max="8" width="16.5" style="2" customWidth="1"/>
    <col min="9" max="9" width="11.75" style="2" customWidth="1"/>
    <col min="10" max="10" width="5.25" style="2" customWidth="1"/>
    <col min="11" max="11" width="9.875" style="2" customWidth="1"/>
    <col min="12" max="12" width="6.625" style="2" customWidth="1"/>
    <col min="13" max="13" width="11.5" style="2" customWidth="1"/>
    <col min="14" max="14" width="10" style="3" customWidth="1"/>
    <col min="15" max="15" width="8.125" style="4" customWidth="1"/>
    <col min="16" max="16" width="7.125" customWidth="1"/>
    <col min="17" max="17" width="6.125" customWidth="1"/>
  </cols>
  <sheetData>
    <row r="1" spans="1:17" ht="29.2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39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  <c r="P2" s="7" t="s">
        <v>15</v>
      </c>
      <c r="Q2" s="7" t="s">
        <v>21</v>
      </c>
    </row>
    <row r="3" spans="1:17" ht="39" customHeight="1">
      <c r="A3" s="5">
        <v>1</v>
      </c>
      <c r="B3" s="5" t="str">
        <f>"陈超战"</f>
        <v>陈超战</v>
      </c>
      <c r="C3" s="5" t="str">
        <f>"男        "</f>
        <v xml:space="preserve">男        </v>
      </c>
      <c r="D3" s="5" t="str">
        <f>"汉族"</f>
        <v>汉族</v>
      </c>
      <c r="E3" s="5" t="str">
        <f>"陆川"</f>
        <v>陆川</v>
      </c>
      <c r="F3" s="5" t="str">
        <f>"1994年12月"</f>
        <v>1994年12月</v>
      </c>
      <c r="G3" s="5" t="str">
        <f>"共青团员"</f>
        <v>共青团员</v>
      </c>
      <c r="H3" s="5" t="str">
        <f>"广西民族大学相思湖学院烹饪与营养教育"</f>
        <v>广西民族大学相思湖学院烹饪与营养教育</v>
      </c>
      <c r="I3" s="5" t="str">
        <f>"烹饪与营养教育"</f>
        <v>烹饪与营养教育</v>
      </c>
      <c r="J3" s="5" t="str">
        <f>"本科学士"</f>
        <v>本科学士</v>
      </c>
      <c r="K3" s="5" t="str">
        <f>"2017.06.01"</f>
        <v>2017.06.01</v>
      </c>
      <c r="L3" s="5" t="str">
        <f>"中等职业学校"</f>
        <v>中等职业学校</v>
      </c>
      <c r="M3" s="5" t="str">
        <f>"421:中餐烹饪与营养膳食"</f>
        <v>421:中餐烹饪与营养膳食</v>
      </c>
      <c r="N3" s="8">
        <v>22</v>
      </c>
      <c r="O3" s="8">
        <v>44</v>
      </c>
      <c r="P3" s="9">
        <f>N3+O3</f>
        <v>66</v>
      </c>
      <c r="Q3" s="9">
        <v>1</v>
      </c>
    </row>
    <row r="4" spans="1:17" ht="39" customHeight="1">
      <c r="A4" s="5">
        <v>2</v>
      </c>
      <c r="B4" s="5" t="str">
        <f>"李奂昌"</f>
        <v>李奂昌</v>
      </c>
      <c r="C4" s="5" t="str">
        <f>"男        "</f>
        <v xml:space="preserve">男        </v>
      </c>
      <c r="D4" s="5" t="str">
        <f>"汉族"</f>
        <v>汉族</v>
      </c>
      <c r="E4" s="5" t="str">
        <f>"容县"</f>
        <v>容县</v>
      </c>
      <c r="F4" s="5" t="str">
        <f>"1991年01月"</f>
        <v>1991年01月</v>
      </c>
      <c r="G4" s="5" t="str">
        <f>"共青团员"</f>
        <v>共青团员</v>
      </c>
      <c r="H4" s="5" t="str">
        <f>"广西师范大学职业技术师范学院机械设计制造及其自动化"</f>
        <v>广西师范大学职业技术师范学院机械设计制造及其自动化</v>
      </c>
      <c r="I4" s="5" t="str">
        <f>"机械设计制造及其自动化"</f>
        <v>机械设计制造及其自动化</v>
      </c>
      <c r="J4" s="5" t="str">
        <f>"本科学士"</f>
        <v>本科学士</v>
      </c>
      <c r="K4" s="5" t="str">
        <f>"2014.07.01"</f>
        <v>2014.07.01</v>
      </c>
      <c r="L4" s="5" t="str">
        <f>"中等职业学校"</f>
        <v>中等职业学校</v>
      </c>
      <c r="M4" s="5" t="str">
        <f>"477:机械工程及其自动化"</f>
        <v>477:机械工程及其自动化</v>
      </c>
      <c r="N4" s="8">
        <v>26</v>
      </c>
      <c r="O4" s="8">
        <v>49</v>
      </c>
      <c r="P4" s="9">
        <f>N4+O4</f>
        <v>75</v>
      </c>
      <c r="Q4" s="9">
        <v>1</v>
      </c>
    </row>
  </sheetData>
  <sortState ref="B5:P8">
    <sortCondition ref="B5"/>
  </sortState>
  <mergeCells count="1">
    <mergeCell ref="A1:Q1"/>
  </mergeCells>
  <phoneticPr fontId="6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初中</vt:lpstr>
      <vt:lpstr>小学</vt:lpstr>
      <vt:lpstr>特教</vt:lpstr>
      <vt:lpstr>中职</vt:lpstr>
      <vt:lpstr>初中!Print_Titles</vt:lpstr>
      <vt:lpstr>特教!Print_Titles</vt:lpstr>
      <vt:lpstr>小学!Print_Titles</vt:lpstr>
      <vt:lpstr>中职!Print_Titles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2017-08-03T01:39:27Z</cp:lastPrinted>
  <dcterms:created xsi:type="dcterms:W3CDTF">2017-06-29T01:59:00Z</dcterms:created>
  <dcterms:modified xsi:type="dcterms:W3CDTF">2017-08-04T03:40:27Z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